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clienti\cogenlab\2026\newsletter\strumenti_utili\"/>
    </mc:Choice>
  </mc:AlternateContent>
  <xr:revisionPtr revIDLastSave="0" documentId="13_ncr:1_{EB18D163-C14F-42D6-AF57-BA6F95702966}" xr6:coauthVersionLast="47" xr6:coauthVersionMax="47" xr10:uidLastSave="{00000000-0000-0000-0000-000000000000}"/>
  <workbookProtection lockStructure="1"/>
  <bookViews>
    <workbookView xWindow="1560" yWindow="1560" windowWidth="28800" windowHeight="15345" xr2:uid="{00000000-000D-0000-FFFF-FFFF00000000}"/>
  </bookViews>
  <sheets>
    <sheet name="AVVERTENZA" sheetId="6" r:id="rId1"/>
    <sheet name="Calcolatore" sheetId="1" r:id="rId2"/>
    <sheet name="Scheda Cliente" sheetId="2" r:id="rId3"/>
    <sheet name="Parametri" sheetId="3" r:id="rId4"/>
    <sheet name="Punteggio" sheetId="4" state="hidden" r:id="rId5"/>
    <sheet name="Check bancabilità" sheetId="5" r:id="rId6"/>
  </sheets>
  <calcPr calcId="191029"/>
</workbook>
</file>

<file path=xl/calcChain.xml><?xml version="1.0" encoding="utf-8"?>
<calcChain xmlns="http://schemas.openxmlformats.org/spreadsheetml/2006/main">
  <c r="B20" i="5" l="1"/>
  <c r="C15" i="4"/>
  <c r="B14" i="4"/>
  <c r="C13" i="4"/>
  <c r="C9" i="4"/>
  <c r="E113" i="2"/>
  <c r="E114" i="2" s="1"/>
  <c r="E112" i="2"/>
  <c r="A88" i="2"/>
  <c r="D46" i="2"/>
  <c r="A26" i="2"/>
  <c r="D11" i="2"/>
  <c r="D10" i="2"/>
  <c r="D9" i="2"/>
  <c r="D8" i="2"/>
  <c r="D5" i="2"/>
  <c r="A5" i="2"/>
  <c r="B86" i="1"/>
  <c r="B76" i="1"/>
  <c r="B59" i="1"/>
  <c r="B52" i="1"/>
  <c r="B51" i="1"/>
  <c r="B43" i="1"/>
  <c r="B39" i="1"/>
  <c r="B38" i="1"/>
  <c r="B35" i="1"/>
  <c r="B37" i="1" s="1"/>
  <c r="B32" i="1"/>
  <c r="B34" i="1" s="1"/>
  <c r="C10" i="4" s="1"/>
  <c r="B26" i="1"/>
  <c r="B25" i="1"/>
  <c r="B21" i="1"/>
  <c r="B24" i="1" s="1"/>
  <c r="B11" i="1"/>
  <c r="B9" i="1"/>
  <c r="B27" i="1" l="1"/>
  <c r="B29" i="1" s="1"/>
  <c r="C14" i="4"/>
  <c r="B41" i="1"/>
  <c r="B42" i="1" s="1"/>
  <c r="B44" i="1" s="1"/>
  <c r="D42" i="1"/>
  <c r="D47" i="2"/>
  <c r="E48" i="2" s="1"/>
  <c r="F48" i="2" s="1"/>
  <c r="B46" i="1" l="1"/>
  <c r="B45" i="1"/>
  <c r="D12" i="2"/>
  <c r="B53" i="1"/>
  <c r="E49" i="2"/>
  <c r="D50" i="2" s="1"/>
  <c r="F47" i="2"/>
  <c r="F49" i="2" s="1"/>
  <c r="D53" i="2"/>
  <c r="C16" i="4"/>
  <c r="B94" i="1"/>
  <c r="B127" i="2" l="1"/>
  <c r="B55" i="1"/>
  <c r="B54" i="1"/>
  <c r="B56" i="1" s="1"/>
  <c r="B57" i="1" l="1"/>
  <c r="B71" i="1"/>
  <c r="B63" i="1" l="1"/>
  <c r="B60" i="1"/>
  <c r="B61" i="1" s="1"/>
  <c r="B58" i="1"/>
  <c r="D15" i="2"/>
  <c r="B62" i="1" l="1"/>
  <c r="B64" i="1" s="1"/>
  <c r="D20" i="2" s="1"/>
  <c r="D18" i="2"/>
  <c r="B68" i="1"/>
  <c r="B133" i="2"/>
  <c r="B67" i="2"/>
  <c r="D16" i="2"/>
  <c r="B88" i="1"/>
  <c r="B87" i="1" s="1"/>
  <c r="B77" i="1"/>
  <c r="B78" i="1" s="1"/>
  <c r="B79" i="1" s="1"/>
  <c r="D17" i="2"/>
  <c r="B89" i="1"/>
  <c r="B69" i="1"/>
  <c r="B70" i="1" s="1"/>
  <c r="B121" i="2"/>
  <c r="D23" i="2" l="1"/>
  <c r="B81" i="1"/>
  <c r="C133" i="2"/>
  <c r="B72" i="1"/>
  <c r="B95" i="1"/>
  <c r="D19" i="2"/>
  <c r="D51" i="2"/>
  <c r="B128" i="2" l="1"/>
  <c r="D52" i="2"/>
  <c r="B129" i="2" s="1"/>
  <c r="D24" i="2"/>
  <c r="B122" i="2"/>
  <c r="B90" i="1"/>
  <c r="B91" i="1" s="1"/>
  <c r="B83" i="1"/>
  <c r="B123" i="2"/>
  <c r="D25" i="2" l="1"/>
  <c r="B68" i="2"/>
  <c r="B134" i="2"/>
  <c r="B93" i="1"/>
  <c r="D31" i="2" s="1"/>
  <c r="B92" i="1"/>
  <c r="D30" i="2" s="1"/>
  <c r="D29" i="2"/>
  <c r="B135" i="2" l="1"/>
  <c r="C134" i="2"/>
  <c r="B69" i="2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G60" i="2" l="1"/>
  <c r="C135" i="2"/>
  <c r="B136" i="2"/>
  <c r="B137" i="2" l="1"/>
  <c r="C136" i="2"/>
  <c r="G56" i="2"/>
  <c r="B150" i="2"/>
  <c r="B152" i="2" l="1"/>
  <c r="G58" i="2"/>
  <c r="B138" i="2"/>
  <c r="C137" i="2"/>
  <c r="B139" i="2" l="1"/>
  <c r="C138" i="2"/>
  <c r="B140" i="2" l="1"/>
  <c r="C139" i="2"/>
  <c r="B141" i="2" l="1"/>
  <c r="C140" i="2"/>
  <c r="C141" i="2" l="1"/>
  <c r="B142" i="2"/>
  <c r="B143" i="2" l="1"/>
  <c r="C142" i="2"/>
  <c r="B144" i="2" l="1"/>
  <c r="C143" i="2"/>
  <c r="B145" i="2" l="1"/>
  <c r="C144" i="2"/>
  <c r="B146" i="2" l="1"/>
  <c r="C145" i="2"/>
  <c r="B147" i="2" l="1"/>
  <c r="C146" i="2"/>
  <c r="C147" i="2" l="1"/>
  <c r="B148" i="2"/>
  <c r="C14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21" authorId="0" shapeId="0" xr:uid="{00000000-0006-0000-0100-000001000000}">
      <text>
        <r>
          <rPr>
            <sz val="11"/>
            <color theme="1"/>
            <rFont val="Calibri"/>
          </rPr>
          <t>Art. 5 c. 4: Pnom FV max = (Consumo annuo F1 x 1,2) / 1.200. Solo la fascia F1, su un'annualita' completa a scelta del beneficiario a partire dal 2021.</t>
        </r>
      </text>
    </comment>
    <comment ref="B27" authorId="0" shapeId="0" xr:uid="{00000000-0006-0000-0100-000002000000}">
      <text>
        <r>
          <rPr>
            <sz val="11"/>
            <color theme="1"/>
            <rFont val="Calibri"/>
          </rPr>
          <t>Art. 5 c. 5: Esto max = MIN[2 x (Pnom FV nuovo + Pnom FV esistente); (F2+F3) x 1,2 / 365].</t>
        </r>
      </text>
    </comment>
  </commentList>
</comments>
</file>

<file path=xl/sharedStrings.xml><?xml version="1.0" encoding="utf-8"?>
<sst xmlns="http://schemas.openxmlformats.org/spreadsheetml/2006/main" count="544" uniqueCount="408">
  <si>
    <t>Avvertenza sull'utilizzo</t>
  </si>
  <si>
    <t>© Cogenlab S.r.l. — Tutti i diritti riservati</t>
  </si>
  <si>
    <t>CALCOLATORE — AVVISO FONTI RINNOVABILI 2026 (Regione Umbria / Gepafin) - Sportello: dal 04/09/2026 h 12:00 al 31/12/2026 h 12:00, cronologico, senza graduatoria.</t>
  </si>
  <si>
    <t>Comune</t>
  </si>
  <si>
    <t>Zona assistita 107.3.c</t>
  </si>
  <si>
    <t xml:space="preserve">Compilare esclusivamente le celle GIALLE con testo BLU. Tutto il resto è calcolato. I valori attualmente inseriti sono un ESEMPIO (media impresa, FV 108 kWp + accumulo 100 kWh) e vanno sostituiti con i dati del cliente. </t>
  </si>
  <si>
    <t>Assisi (PG)</t>
  </si>
  <si>
    <t>No</t>
  </si>
  <si>
    <t>Bastia Umbra (PG)</t>
  </si>
  <si>
    <t>Si</t>
  </si>
  <si>
    <t>Bettona (PG)</t>
  </si>
  <si>
    <t>Bevagna (PG)</t>
  </si>
  <si>
    <t>A. ANAGRAFICA E QUALIFICA</t>
  </si>
  <si>
    <t>Campello sul Clitunno (PG)</t>
  </si>
  <si>
    <t>Ragione sociale</t>
  </si>
  <si>
    <t>Rossi SRL</t>
  </si>
  <si>
    <t>Cannara (PG)</t>
  </si>
  <si>
    <t>Comune dell'unità produttiva</t>
  </si>
  <si>
    <t>Perugia (PG)</t>
  </si>
  <si>
    <t>Cascia (PG)</t>
  </si>
  <si>
    <t>Comune in zona assistita art. 107.3.c?</t>
  </si>
  <si>
    <t>Determinazione automatica sulla base dell'Allegato 9 dell'Avviso. Per il Comune di Terni la zona assistita riguarda soltanto specifiche sezioni censuarie: il simulatore segnala il caso come parziale e non applica automaticamente la maggiorazione finché non viene verificata la sezione.</t>
  </si>
  <si>
    <t>Castel Ritaldi (PG)</t>
  </si>
  <si>
    <t>Dimensione del beneficiario</t>
  </si>
  <si>
    <t>Media impresa</t>
  </si>
  <si>
    <t>Classificazione ex Allegato I Reg. UE 651/2014, considerando imprese associate e collegate.</t>
  </si>
  <si>
    <t>Castiglione del Lago (PG)</t>
  </si>
  <si>
    <t>Riserva finanziaria di riferimento</t>
  </si>
  <si>
    <t>Cerreto di Spoleto (PG)</t>
  </si>
  <si>
    <t>Citerna (PG)</t>
  </si>
  <si>
    <t>B. CONSUMI ELETTRICI (annualità completa a scelta, dal 2021)</t>
  </si>
  <si>
    <t>Città della Pieve (PG)</t>
  </si>
  <si>
    <t>Annualità di riferimento</t>
  </si>
  <si>
    <t>Utenza 'altri usi' intestata al richiedente e riferita alla medesima unità produttiva (art. 3 c. 4 lett. e).</t>
  </si>
  <si>
    <t>Città di Castello (PG)</t>
  </si>
  <si>
    <t>Consumo annuo in fascia F1</t>
  </si>
  <si>
    <t>kWh</t>
  </si>
  <si>
    <t>Collazzone (PG)</t>
  </si>
  <si>
    <t>Consumo annuo in fascia F2</t>
  </si>
  <si>
    <t>Corciano (PG)</t>
  </si>
  <si>
    <t>Consumo annuo in fascia F3</t>
  </si>
  <si>
    <t>Costacciaro (PG)</t>
  </si>
  <si>
    <t>Potenza contrattuale POD</t>
  </si>
  <si>
    <t>kW</t>
  </si>
  <si>
    <t>Prezzo dell'energia medio</t>
  </si>
  <si>
    <t>€</t>
  </si>
  <si>
    <t>Deruta (PG)</t>
  </si>
  <si>
    <t>C. DIMENSIONAMENTO MASSIMO AMMISSIBILE (art. 5)</t>
  </si>
  <si>
    <t>Foligno (PG)</t>
  </si>
  <si>
    <t>Potenza FV massima ammissibile</t>
  </si>
  <si>
    <t>kWp</t>
  </si>
  <si>
    <t>Formula dell'Avviso: (Consumo F1 × 1,2) / 1.200</t>
  </si>
  <si>
    <t>Fossato di Vico (PG)</t>
  </si>
  <si>
    <t>Potenza FV già esistente e in esercizio</t>
  </si>
  <si>
    <t>Serve per il limite di capacità dell'accumulo. Nei progetti di solo accumulo su impianto esistente è il dato chiave.</t>
  </si>
  <si>
    <t>Fratta Todina (PG)</t>
  </si>
  <si>
    <t>Potenza FV di progetto</t>
  </si>
  <si>
    <t>Giano dell'Umbria (PG)</t>
  </si>
  <si>
    <t>Verifica potenza</t>
  </si>
  <si>
    <t>Gualdo Cattaneo (PG)</t>
  </si>
  <si>
    <t>Limite A — 2 × (FV di progetto + FV esistente)</t>
  </si>
  <si>
    <t>Gualdo Tadino (PG)</t>
  </si>
  <si>
    <t>Limite B — (F2+F3) × 1,2 / 365</t>
  </si>
  <si>
    <t>Gubbio (PG)</t>
  </si>
  <si>
    <t>Capacità accumulo massima ammissibile</t>
  </si>
  <si>
    <t>Il limite B premia i profili con consumi serali/notturni: ricettivo, sanitario, wellness, produzione su più turni.</t>
  </si>
  <si>
    <t>Lisciano Niccone (PG)</t>
  </si>
  <si>
    <t>Capacità accumulo di progetto</t>
  </si>
  <si>
    <t>Magione (PG)</t>
  </si>
  <si>
    <t>Verifica capacità</t>
  </si>
  <si>
    <t>Marsciano (PG)</t>
  </si>
  <si>
    <t>Massa Martana (PG)</t>
  </si>
  <si>
    <t>D. COSTI E SPESA AMMISSIBILE (art. 6)</t>
  </si>
  <si>
    <t>Monte Castello di Vibio (PG)</t>
  </si>
  <si>
    <t>Costo unitario massimo FV (per fascia di taglia)</t>
  </si>
  <si>
    <t>€/kWp</t>
  </si>
  <si>
    <t>Il massimale si applica al totale della componente, progettazione inclusa (art. 6 c. 1).</t>
  </si>
  <si>
    <t>Montefalco (PG)</t>
  </si>
  <si>
    <t>Costo unitario FV proposto</t>
  </si>
  <si>
    <t>Solo materiali e installazione. La progettazione si somma a parte, ma il totale resta entro il massimale unitario.</t>
  </si>
  <si>
    <t>Monteleone di Spoleto (PG)</t>
  </si>
  <si>
    <t>Scarto vs massimale FV</t>
  </si>
  <si>
    <t>≥10% = 10 punti; ≥20% = 20 punti sul criterio economico-finanziario.</t>
  </si>
  <si>
    <t>Monte Santa Maria Tiberina (PG)</t>
  </si>
  <si>
    <t>Costo unitario massimo accumulo (per fascia)</t>
  </si>
  <si>
    <t>€/kWh</t>
  </si>
  <si>
    <t>Montone (PG)</t>
  </si>
  <si>
    <t>Costo unitario accumulo proposto</t>
  </si>
  <si>
    <t>Nocera Umbra (PG)</t>
  </si>
  <si>
    <t>Scarto vs massimale accumulo</t>
  </si>
  <si>
    <t>Norcia (PG)</t>
  </si>
  <si>
    <t>Materiali FV proposti (kWp × costo unitario)</t>
  </si>
  <si>
    <t>Costo pieno proposto: il massimale unitario è applicato più sotto, sul totale comprensivo di progettazione.</t>
  </si>
  <si>
    <t>Paciano (PG)</t>
  </si>
  <si>
    <t>Materiali accumulo proposti (kWh × costo unitario)</t>
  </si>
  <si>
    <t>Panicale (PG)</t>
  </si>
  <si>
    <t>Progettazione e DL — importo proposto</t>
  </si>
  <si>
    <t>Ammissibile solo se eseguita e fatturata da tecnico abilitato iscritto ad Albo. La consulenza sulla pratica di finanza agevolata NON è ammissibile.</t>
  </si>
  <si>
    <t>Passignano sul Trasimeno (PG)</t>
  </si>
  <si>
    <t>Progettazione e DL ammissibile</t>
  </si>
  <si>
    <t>Max 10% del costo dei materiali e comunque ≤ 15.000 €. Rientra nel massimale unitario (art. 6 c. 1).</t>
  </si>
  <si>
    <t>Spesa ammissibile lorda (entro i massimali unitari)</t>
  </si>
  <si>
    <t>Piegaro (PG)</t>
  </si>
  <si>
    <t>Massimale di spesa per fascia</t>
  </si>
  <si>
    <t>Pietralunga (PG)</t>
  </si>
  <si>
    <t>SPESA AMMESSA</t>
  </si>
  <si>
    <t>Poggiodomo (PG)</t>
  </si>
  <si>
    <t>Fattore di riduzione applicato</t>
  </si>
  <si>
    <t>Se la spesa lorda supera il massimale di fascia, l'eccedenza resta ammissibile ma non finanziabile.</t>
  </si>
  <si>
    <t>Preci (PG)</t>
  </si>
  <si>
    <t>Verifica spesa minima 25.000 €</t>
  </si>
  <si>
    <t>San Giustino (PG)</t>
  </si>
  <si>
    <t>Investimento totale a bilancio (comprese quote non ammesse)</t>
  </si>
  <si>
    <t>Base civilistica dell'immobilizzazione. Rileva per l'iperammortamento, che non è limitato ai massimali dell'Avviso.</t>
  </si>
  <si>
    <t>Sant'Anatolia di Narco (PG)</t>
  </si>
  <si>
    <t>Scheggia e Pascelupo (PG)</t>
  </si>
  <si>
    <t>E. FINANZIAMENTO AGEVOLATO E REMISSIONE DEL DEBITO (art. 4)</t>
  </si>
  <si>
    <t>Scheggino (PG)</t>
  </si>
  <si>
    <t>Costituzione / partecipazione / impegno CER</t>
  </si>
  <si>
    <t>Un solo documento vale +5 punti percentuali di finanziamento E 10 punti di punteggio. Attenzione: se dichiarato e non realizzato il punteggio decade (art. 14 c. 8).</t>
  </si>
  <si>
    <t>Sellano (PG)</t>
  </si>
  <si>
    <t>% finanziamento su componente FV</t>
  </si>
  <si>
    <t>Sigillo (PG)</t>
  </si>
  <si>
    <t>% finanziamento su componente accumulo</t>
  </si>
  <si>
    <t>Spello (PG)</t>
  </si>
  <si>
    <t>Spesa ammessa — componente FV</t>
  </si>
  <si>
    <t>Progettazione ripartita pro-quota e componente troncata al proprio massimale unitario.</t>
  </si>
  <si>
    <t>Spoleto (PG)</t>
  </si>
  <si>
    <t>Spesa ammessa — componente accumulo</t>
  </si>
  <si>
    <t>Todi (PG)</t>
  </si>
  <si>
    <t>Finanziamento su componente FV</t>
  </si>
  <si>
    <t>Torgiano (PG)</t>
  </si>
  <si>
    <t>Finanziamento su componente accumulo</t>
  </si>
  <si>
    <t>Trevi (PG)</t>
  </si>
  <si>
    <t>FINANZIAMENTO AGEVOLATO TOTALE</t>
  </si>
  <si>
    <t>Tuoro sul Trasimeno (PG)</t>
  </si>
  <si>
    <t>Esborso a carico dell'impresa al momento dell'investimento</t>
  </si>
  <si>
    <t>Investimento totale a bilancio meno finanziamento erogato in un'unica soluzione.</t>
  </si>
  <si>
    <t>Umbertide (PG)</t>
  </si>
  <si>
    <t>% remissione del debito</t>
  </si>
  <si>
    <t>Valfabbrica (PG)</t>
  </si>
  <si>
    <t>REMISSIONE DEL DEBITO</t>
  </si>
  <si>
    <t>Riconosciuta a partire dal termine del preammortamento, previo esito positivo della rendicontazione.</t>
  </si>
  <si>
    <t>Vallo di Nera (PG)</t>
  </si>
  <si>
    <t>Debito residuo da rimborsare</t>
  </si>
  <si>
    <t>Valtopina (PG)</t>
  </si>
  <si>
    <t>Rata semestrale di ammortamento (12 rate)</t>
  </si>
  <si>
    <t>Acquasparta (TR)</t>
  </si>
  <si>
    <t>Interessi del periodo di preammortamento (12 mesi)</t>
  </si>
  <si>
    <t>Stima sul capitale pieno: nel primo anno la remissione non è ancora riconosciuta.</t>
  </si>
  <si>
    <t>Allerona (TR)</t>
  </si>
  <si>
    <t>Interessi complessivi stimati</t>
  </si>
  <si>
    <t>Alviano (TR)</t>
  </si>
  <si>
    <t>Amelia (TR)</t>
  </si>
  <si>
    <t>F. VERIFICA DELL'INTENSITÀ DI AIUTO (art. 15 — Reg. UE 651/2014 art. 41)</t>
  </si>
  <si>
    <t>Arrone (TR)</t>
  </si>
  <si>
    <t>Tasso di mercato di riferimento (stima)</t>
  </si>
  <si>
    <t>Ipotesi CogenLab, da adattare al merito creditizio del cliente. L'ESL ufficiale è determinato da Gepafin.</t>
  </si>
  <si>
    <t>Attigliano (TR)</t>
  </si>
  <si>
    <t>ESL dell'abbattimento del tasso (stima prudenziale)</t>
  </si>
  <si>
    <t>Approssimazione: 1 anno di preammortamento sul capitale pieno + 6 anni sul capitale medio residuo.</t>
  </si>
  <si>
    <t>Baschi (TR)</t>
  </si>
  <si>
    <t>ESL complessivo</t>
  </si>
  <si>
    <t>Calvi dell'Umbria (TR)</t>
  </si>
  <si>
    <t>Intensità di aiuto risultante</t>
  </si>
  <si>
    <t>Castel Giorgio (TR)</t>
  </si>
  <si>
    <t>Intensità massima ammessa (media ponderata sulle componenti)</t>
  </si>
  <si>
    <t>Castel Viscardo (TR)</t>
  </si>
  <si>
    <t>Verifica</t>
  </si>
  <si>
    <t>Fabro (TR)</t>
  </si>
  <si>
    <t>Ferentillo (TR)</t>
  </si>
  <si>
    <t>G. IPERAMMORTAMENTO (L. 199/2025 — cumulo ammesso dall'art. 16 c. 3 dell'Avviso)</t>
  </si>
  <si>
    <t>Ficulle (TR)</t>
  </si>
  <si>
    <t>Iperammortamento applicabile?</t>
  </si>
  <si>
    <t>Sì solo se: impresa con capienza fiscale IRES/IRPEF, moduli e celle in categoria b) o c) dell'elenco ENEA, prenotazione sulla piattaforma GSE, perizia asseverata e certificazione del revisore.</t>
  </si>
  <si>
    <t>Giove (TR)</t>
  </si>
  <si>
    <t>Base lorda (investimento a bilancio)</t>
  </si>
  <si>
    <t>Guardea (TR)</t>
  </si>
  <si>
    <t>Nettizzazione — sovvenzioni sui medesimi costi</t>
  </si>
  <si>
    <t>La base è assunta al netto delle sovvenzioni ricevute sugli stessi costi ammissibili. Ipotesi prudenziale: si nettizza anche l'ESL del tasso agevolato. Da confermare con il commercialista.</t>
  </si>
  <si>
    <t>Lugnano in Teverina (TR)</t>
  </si>
  <si>
    <t>Base netta agevolabile</t>
  </si>
  <si>
    <t>Montecastrilli (TR)</t>
  </si>
  <si>
    <t>Maggiorazione del costo deducibile</t>
  </si>
  <si>
    <t>Scaglione +180% fino a 2,5 mln €. Con i massimali di questo Avviso si resta sempre nel primo scaglione.</t>
  </si>
  <si>
    <t>Montecchio (TR)</t>
  </si>
  <si>
    <t>Aliquota IRES/IRPEF</t>
  </si>
  <si>
    <t>Montefranco (TR)</t>
  </si>
  <si>
    <t>RISPARMIO FISCALE COMPLESSIVO</t>
  </si>
  <si>
    <t>Non è un credito immediato: si fruisce come variazione in diminuzione lungo il piano di ammortamento del bene. Nessun effetto ai fini IRAP.</t>
  </si>
  <si>
    <t>Montegabbione (TR)</t>
  </si>
  <si>
    <t>Anni di ammortamento del bene</t>
  </si>
  <si>
    <t>Aliquota fiscale impianti fotovoltaici tipicamente 9%.</t>
  </si>
  <si>
    <t>Monteleone d'Orvieto (TR)</t>
  </si>
  <si>
    <t>Risparmio fiscale medio annuo</t>
  </si>
  <si>
    <t>Narni (TR)</t>
  </si>
  <si>
    <t>Orvieto (TR)</t>
  </si>
  <si>
    <t>H. SINTESI PER IL CLIENTE</t>
  </si>
  <si>
    <t>Otricoli (TR)</t>
  </si>
  <si>
    <t>Investimento totale</t>
  </si>
  <si>
    <t>Parrano (TR)</t>
  </si>
  <si>
    <t>Quota finanziata</t>
  </si>
  <si>
    <t>Esborso iniziale (dopo erogazione del finanziamento)</t>
  </si>
  <si>
    <t>Penna in Teverina (TR)</t>
  </si>
  <si>
    <t>Remissione del debito (contributo a fondo perduto di fatto)</t>
  </si>
  <si>
    <t>Polino (TR)</t>
  </si>
  <si>
    <t>Risparmio fiscale da iperammortamento</t>
  </si>
  <si>
    <t>Porano (TR)</t>
  </si>
  <si>
    <t>SOSTEGNO PUBBLICO COMPLESSIVO</t>
  </si>
  <si>
    <t>San Gemini (TR)</t>
  </si>
  <si>
    <t>Copertura sull'investimento</t>
  </si>
  <si>
    <t>San Venanzo (TR)</t>
  </si>
  <si>
    <t>COSTO NETTO FINALE PER L'IMPRESA</t>
  </si>
  <si>
    <t>Al lordo dell'attualizzazione: la remissione arriva dopo la rendicontazione, il risparmio fiscale si distribuisce sugli anni di ammortamento.</t>
  </si>
  <si>
    <t>Stroncone (TR)</t>
  </si>
  <si>
    <t>Punteggio stimato (foglio Punteggio)</t>
  </si>
  <si>
    <t>Terni (TR)</t>
  </si>
  <si>
    <t>Parzialmente — verificare sezione censuaria</t>
  </si>
  <si>
    <t>Esito atteso</t>
  </si>
  <si>
    <t>Avigliano Umbro (TR)</t>
  </si>
  <si>
    <t>Avviso Fonti Rinnovabili 2026 — Regione Umbria</t>
  </si>
  <si>
    <t>Simulazione preliminare · PR FESR Umbria 2021-2027, Azione 2.2.1
Finanziamento agevolato all'1,00% con remissione parziale del debito</t>
  </si>
  <si>
    <t>1.   L'INTERVENTO PROPOSTO</t>
  </si>
  <si>
    <t>Impianto fotovoltaico</t>
  </si>
  <si>
    <t>Dimensionato sui consumi in fascia F1</t>
  </si>
  <si>
    <t>Sistema di accumulo</t>
  </si>
  <si>
    <t>Dimensionato sui consumi in fascia F2 e F3</t>
  </si>
  <si>
    <t>Impianto fotovoltaico già in esercizio</t>
  </si>
  <si>
    <t>Investimento complessivo</t>
  </si>
  <si>
    <t>di cui riconosciuto ammissibile dall'Avviso</t>
  </si>
  <si>
    <t>Al netto dei massimali di costo unitario e di spesa</t>
  </si>
  <si>
    <t>2.   IL CONTRIBUTO DELLA REGIONE UMBRIA</t>
  </si>
  <si>
    <t>Finanziamento agevolato erogato</t>
  </si>
  <si>
    <t>Erogato in un'unica soluzione dopo la firma del contratto</t>
  </si>
  <si>
    <t>Esborso a carico dell'azienda</t>
  </si>
  <si>
    <t>Quanto serve effettivamente per realizzare l'impianto</t>
  </si>
  <si>
    <t>Remissione del debito (quota a fondo perduto)</t>
  </si>
  <si>
    <t>Quota di finanziamento che NON dovrà essere restituita</t>
  </si>
  <si>
    <t>Rata semestrale (12 rate, tasso 1,00%)</t>
  </si>
  <si>
    <t>Dopo 12 mesi di preammortamento</t>
  </si>
  <si>
    <t>Interessi complessivi sull'intera operazione</t>
  </si>
  <si>
    <t>3.   IL VANTAGGIO FISCALE — Iperammortamento (Legge di Bilancio 2026)</t>
  </si>
  <si>
    <t>Deduzione aggiuntiva rispetto al costo effettivo</t>
  </si>
  <si>
    <t>Risparmio fiscale complessivo</t>
  </si>
  <si>
    <t>Ripartito lungo il piano di ammortamento del bene</t>
  </si>
  <si>
    <t>4.   IL RISULTATO COMPLESSIVO</t>
  </si>
  <si>
    <t>Sostegno pubblico totale</t>
  </si>
  <si>
    <t>Remissione del debito + risparmio fiscale</t>
  </si>
  <si>
    <t>Costo netto finale per l'azienda</t>
  </si>
  <si>
    <t>Investimento meno sostegno, compresi gli interessi</t>
  </si>
  <si>
    <t>5.   L'EFFETTO IN BOLLETTA</t>
  </si>
  <si>
    <t>Energia prodotta ogni anno dal nuovo impianto</t>
  </si>
  <si>
    <t>Stima su produzione specifica di 1.250 kWh/kWp</t>
  </si>
  <si>
    <t>Energia autoconsumata ogni anno nuovo FV</t>
  </si>
  <si>
    <t>Energia autoconsumata in più con batteria</t>
  </si>
  <si>
    <t>Energia autoconsumata totale</t>
  </si>
  <si>
    <t>Risparmio annuo stimato in bolletta</t>
  </si>
  <si>
    <t>Impegno annuo per il rimborso</t>
  </si>
  <si>
    <t>Per 6 anni, dopo il preammortamento</t>
  </si>
  <si>
    <t>Saldo annuo di cassa durante il rimborso</t>
  </si>
  <si>
    <t>Se positivo, l'operazione si autofinanzia</t>
  </si>
  <si>
    <t>CO₂ evitata ogni anno</t>
  </si>
  <si>
    <t>Tempo di rientro (anni)</t>
  </si>
  <si>
    <t>Pay Back Period</t>
  </si>
  <si>
    <t>T.I.R. COST</t>
  </si>
  <si>
    <t>Dati grafico 3 — Ritorno dell'investimento</t>
  </si>
  <si>
    <t>Anno</t>
  </si>
  <si>
    <t>Flusso di cassa cumulato</t>
  </si>
  <si>
    <t>6.   TEMPI E CONDIZIONI</t>
  </si>
  <si>
    <t>▪   Lo sportello apre il 4 settembre 2026 alle ore 12:00 e chiude il 31 dicembre 2026. Le domande sono istruite in ordine cronologico di invio fino a esaurimento delle risorse: chi presenta prima ha la precedenza.</t>
  </si>
  <si>
    <t>▪   Nessun ordine, preventivo accettato, acconto o inizio lavori prima dell'invio della domanda: le spese sostenute prima non sono ammissibili.</t>
  </si>
  <si>
    <t>▪   L'intervento va completato entro 15 mesi dall'erogazione del finanziamento. La remissione del debito è riconosciuta dopo la verifica della rendicontazione.</t>
  </si>
  <si>
    <t>▪   CogenLab segue l'intero percorso: dimensionamento, progetto, predisposizione della domanda, realizzazione e rendicontazione.</t>
  </si>
  <si>
    <t>Simulazione preliminare a scopo informativo, elaborata sui dati forniti dal cliente e sui parametri dell'Avviso pubblicato nel BUR Regione Umbria n. 36 del 23/07/2026 (DGR n. 608/2026). Non costituisce offerta contrattuale né garanzia di ammissione all'agevolazione: importi ed esiti definitivi sono determinati da Gepafin S.p.A. all'esito dell'istruttoria, comprensiva della valutazione del merito creditizio. Il vantaggio fiscale è indicativo e va verificato con il proprio consulente.</t>
  </si>
  <si>
    <t>CogenLab S.r.l.   ·   Energy Service Company   ·   Umbria</t>
  </si>
  <si>
    <t>AREA DI LAVORO — non compare nella stampa né nella copia</t>
  </si>
  <si>
    <t>Prezzo energia elettrica (€/kWh)</t>
  </si>
  <si>
    <t>Quota di autoconsumo solo nuovo FV</t>
  </si>
  <si>
    <t>Quota di autoconsumo FV+ batteria</t>
  </si>
  <si>
    <t>Quota di autoconsumo prima dell'intervento</t>
  </si>
  <si>
    <t>Fattore emissivo rete elettrica (kg CO₂/kWh)</t>
  </si>
  <si>
    <t>Stima automatica e semplificata dell'autoconsumo: per il solo FV considera i consumi nelle fasce F1/F2, la potenza contrattuale del POD e la potenza FV; per FV + batteria considera anche F2+F3, il surplus FV disponibile, rendimento round-trip del 90% e fino a 180 cicli equivalenti/anno. La stima è indicativa: per un dimensionamento puntuale sono necessari i profili di consumo e produzione almeno quartorari.</t>
  </si>
  <si>
    <t>Dati grafico 1</t>
  </si>
  <si>
    <t>Remissione del debito</t>
  </si>
  <si>
    <t>Risparmio fiscale</t>
  </si>
  <si>
    <t>A carico dell'azienda</t>
  </si>
  <si>
    <t>Dati grafico 2</t>
  </si>
  <si>
    <t>€/anno</t>
  </si>
  <si>
    <t>Risparmio in bolletta</t>
  </si>
  <si>
    <t>Rata del finanziamento</t>
  </si>
  <si>
    <t>Saldo netto</t>
  </si>
  <si>
    <t>Andamento</t>
  </si>
  <si>
    <t>PARAMETRI DELL'AVVISO — non modificare</t>
  </si>
  <si>
    <t>Fonte: Avviso Fonti Rinnovabili 2026, PR FESR Umbria 2021-2027 Azione 2.2.1, pubblicato nel BUR Regione Umbria Serie Avvisi e Concorsi n. 36 del 23/07/2026 (DGR n. 608/2026, CUP I68I25000270009). Soggetto gestore: Gepafin S.p.A.</t>
  </si>
  <si>
    <t>TABELLA 1 — Parametri per dimensione del beneficiario (art. 4, 6 e 15)</t>
  </si>
  <si>
    <t>Fascia</t>
  </si>
  <si>
    <t>% fin. FV</t>
  </si>
  <si>
    <t>% fin. accumulo</t>
  </si>
  <si>
    <t>% remissione</t>
  </si>
  <si>
    <t>Intensità max FV</t>
  </si>
  <si>
    <t>Intensità max accumulo</t>
  </si>
  <si>
    <t>Spesa max</t>
  </si>
  <si>
    <t>Riserva finanziaria</t>
  </si>
  <si>
    <t>Libero professionista / Lavoratore autonomo</t>
  </si>
  <si>
    <t>PMI — 8.925.000 €</t>
  </si>
  <si>
    <t>Microimpresa</t>
  </si>
  <si>
    <t>Micro — 2.125.000 €</t>
  </si>
  <si>
    <t>Piccola impresa</t>
  </si>
  <si>
    <t>Grande impresa</t>
  </si>
  <si>
    <t>Grandi — 5.950.000 €</t>
  </si>
  <si>
    <t>Nota: la % di finanziamento è incrementata di 5 punti percentuali in caso di costituzione, partecipazione o impegno di adesione a una CER (art. 4 c. 2). L'intensità massima di aiuto è incrementata di 5 punti percentuali per interventi in zone assistite ex art. 107.3.c TFUE (art. 15 c. 3, Allegato 9 — Carta degli aiuti a finalità regionale 2022-2027).</t>
  </si>
  <si>
    <t>TABELLA 2 — Costi massimi unitari ammissibili (art. 6 c. 1)</t>
  </si>
  <si>
    <t>Impianti inferiori a 50 kWp</t>
  </si>
  <si>
    <t>Fino a 20 kWh</t>
  </si>
  <si>
    <t>Da 50 kWp fino a 200 kWp</t>
  </si>
  <si>
    <t>Fino a 50 kWh</t>
  </si>
  <si>
    <t>Superiori a 200 kWp</t>
  </si>
  <si>
    <t>Fino a 100 kWh</t>
  </si>
  <si>
    <t>Oltre 100 kWh</t>
  </si>
  <si>
    <t>TABELLA 3 — Parametri generali</t>
  </si>
  <si>
    <t>Produzione specifica standard FV</t>
  </si>
  <si>
    <t>art. 5 c. 4</t>
  </si>
  <si>
    <t>Maggiorazione consumi per dimensionamento</t>
  </si>
  <si>
    <t>art. 5 c. 4 e 5</t>
  </si>
  <si>
    <t>Spesa minima ammissibile</t>
  </si>
  <si>
    <t>art. 6 c. 4</t>
  </si>
  <si>
    <t>Progettazione e DL — quota max su materiali</t>
  </si>
  <si>
    <t>art. 6 c. 1</t>
  </si>
  <si>
    <t>Progettazione e DL — tetto assoluto</t>
  </si>
  <si>
    <t>Tasso di interesse del finanziamento</t>
  </si>
  <si>
    <t>art. 4 c. 1</t>
  </si>
  <si>
    <t>Durata preammortamento (mesi)</t>
  </si>
  <si>
    <t>Durata ammortamento (mesi)</t>
  </si>
  <si>
    <t>Numero rate semestrali di ammortamento</t>
  </si>
  <si>
    <t>Maggiorazione CER sulla % di finanziamento</t>
  </si>
  <si>
    <t>art. 4 c. 2</t>
  </si>
  <si>
    <t>Maggiorazione intensità aiuto zone 107.3.c</t>
  </si>
  <si>
    <t>art. 15 c. 3</t>
  </si>
  <si>
    <t>Punteggio minimo di ammissibilità</t>
  </si>
  <si>
    <t>art. 11 c. 2</t>
  </si>
  <si>
    <t>Rendicontazione minima sulla spesa ammessa</t>
  </si>
  <si>
    <t>art. 14 c. 7</t>
  </si>
  <si>
    <t>TABELLA 4 — Iperammortamento (L. 199/2025 art. 1 cc. 427-436; DM MIMIT-MEF 4-7 maggio 2026)</t>
  </si>
  <si>
    <t>Maggiorazione — quota fino a 2.500.000 €</t>
  </si>
  <si>
    <t>Maggiorazione — quota da 2,5 a 10 mln €</t>
  </si>
  <si>
    <t>Maggiorazione — quota da 10 a 20 mln €</t>
  </si>
  <si>
    <t>Vincoli: la base di calcolo è assunta al netto delle sovvenzioni ricevute sui medesimi costi (nettizzazione). Per il fotovoltaico moduli e celle devono rientrare nelle categorie b) o c) dell'elenco ENEA. Il beneficio rileva ai soli fini IRPEF/IRES (non IRAP) e richiede capienza fiscale. Occorrono le comunicazioni sulla piattaforma GSE, la perizia asseverata e la certificazione del revisore.</t>
  </si>
  <si>
    <t>Fonte — elenco ufficiale Comuni italiani</t>
  </si>
  <si>
    <t>https://www.istat.it/storage/codici-unita-amministrative/Elenco-comuni-italiani.xlsx</t>
  </si>
  <si>
    <t>Nota zona assistita</t>
  </si>
  <si>
    <t>Allegato 9: Narni e San Gemini interamente ricompresi; Terni soltanto per specifiche sezioni censuarie.</t>
  </si>
  <si>
    <t>AUTOVALUTAZIONE DEL PUNTEGGIO (art. 11)</t>
  </si>
  <si>
    <t>Il punteggio NON forma graduatoria (art. 10 c. 7): è solo soglia di ammissibilità. Servono almeno 30 punti su 75 — superata la soglia, conta esclusivamente l'ordine cronologico di invio. Non sacrificare marginalità o qualità dei componenti per punti che non servono.</t>
  </si>
  <si>
    <t>Criterio</t>
  </si>
  <si>
    <t>Max</t>
  </si>
  <si>
    <t>Punteggio</t>
  </si>
  <si>
    <t>Come si ottiene</t>
  </si>
  <si>
    <t>Qualità tecnica del progetto (obiettivi, materiali, prestazione ambientale, cantierabilità)</t>
  </si>
  <si>
    <t>Valutato dal Comitato tecnico. La leva controllabile è la cantierabilità: titoli abilitativi già esecutivi al momento della domanda.</t>
  </si>
  <si>
    <t>Qualità tecnica dei componenti (efficienza moduli, rendimento europeo inverter ≥ 98%)</t>
  </si>
  <si>
    <t>Schede tecniche ufficiali di moduli e inverter allegate alla domanda. La soglia di efficienza dei moduli va confermata a Gepafin.</t>
  </si>
  <si>
    <t>Contributo alla produzione FER con sistemi di accumulo</t>
  </si>
  <si>
    <t>Punteggio pieno ai progetti integrati FV + accumulo. Nei progetti di solo accumulo l'attribuzione è da chiarire con Gepafin.</t>
  </si>
  <si>
    <t>Contenimento dei costi unitari rispetto ai massimali</t>
  </si>
  <si>
    <t>10 punti se lo scarto è ≥ 10%, 20 punti se ≥ 20%. Con entrambe le componenti vale il MINORE dei due punteggi.</t>
  </si>
  <si>
    <t>Certificazione ISO 50001 (o impegno a conseguirla entro la rendicontazione)</t>
  </si>
  <si>
    <t>Allegato 16. Impegno sufficiente in fase di domanda, ma va poi realizzato.</t>
  </si>
  <si>
    <t>Impresa giovanile e/o femminile</t>
  </si>
  <si>
    <t>Criteri dell'Allegato 8.</t>
  </si>
  <si>
    <t>Costituzione o partecipazione a una CER</t>
  </si>
  <si>
    <t>Autocertificazione, anche di solo impegno all'adesione. Vale anche +5 punti percentuali sul finanziamento.</t>
  </si>
  <si>
    <t>TOTALE</t>
  </si>
  <si>
    <t>Soglia minima di ammissibilità</t>
  </si>
  <si>
    <t>Esito</t>
  </si>
  <si>
    <t>PRE-QUALIFICA DEL CLIENTE — da fare al primo contatto</t>
  </si>
  <si>
    <t>Gepafin è intermediario finanziario vigilato ex art. 106 TUB e istruisce il merito creditizio: un cliente non bancabile fa perdere settimane. Un solo 'No' sui punti 1-6 blocca la pratica.</t>
  </si>
  <si>
    <t>Riferimento</t>
  </si>
  <si>
    <t>Nessuna esposizione a sofferenza in Centrale dei Rischi negli ultimi 36 mesi</t>
  </si>
  <si>
    <t>art. 3 c. 4 lett. k</t>
  </si>
  <si>
    <t>Non classificabile in Fascia 5 del modello di rating del Fondo di Garanzia PMI</t>
  </si>
  <si>
    <t>art. 3 c. 4 lett. l</t>
  </si>
  <si>
    <t>Nessun insoluto pregresso su strumenti della Regione Umbria o di società controllate</t>
  </si>
  <si>
    <t>art. 3 c. 4 lett. m-o</t>
  </si>
  <si>
    <t>Polizza catastrofale ex L. 213/2023 c. 102 stipulata e quietanzata</t>
  </si>
  <si>
    <t>art. 3 c. 4 lett. u</t>
  </si>
  <si>
    <t>DURC regolare e nessuna cartella di pagamento oltre la soglia art. 48-bis DPR 602/73</t>
  </si>
  <si>
    <t>art. 3 c. 4 lett. q, s</t>
  </si>
  <si>
    <t>ATECO primario ammissibile (esclusi A, D, K, L, O, T, U e tabacco)</t>
  </si>
  <si>
    <t>art. 3 c. 4 lett. c, d</t>
  </si>
  <si>
    <t>Utenza elettrica 'altri usi' intestata al richiedente sull'unità produttiva</t>
  </si>
  <si>
    <t>art. 3 c. 4 lett. e</t>
  </si>
  <si>
    <t>Immobile accatastato, agibile e urbanisticamente conforme</t>
  </si>
  <si>
    <t>art. 5 c. 6</t>
  </si>
  <si>
    <t>Se in locazione: titolo registrato con durata fino a fine ammortamento + autorizzazione del proprietario</t>
  </si>
  <si>
    <t>art. 3 c. 6 — Allegati 5 e 7</t>
  </si>
  <si>
    <t>Nessun ordine, preventivo accettato, acconto o inizio lavori prima della domanda</t>
  </si>
  <si>
    <t>art. 6 c. 1 e art. 8 c. 4</t>
  </si>
  <si>
    <t>Fornitori non riconducibili a soci, amministratori o parenti entro il terzo grado</t>
  </si>
  <si>
    <t>art. 7 c. 1 lett. h</t>
  </si>
  <si>
    <t>Collaudatore terzo individuato, diverso dal progettista e senza cointeressenza con i fornitori</t>
  </si>
  <si>
    <t>art. 14 c. 4 lett. b</t>
  </si>
  <si>
    <t>SPID/CIE, PEC attiva, firma digitale del legale rappresentante, marca da bollo 16 €</t>
  </si>
  <si>
    <t>art. 9 c. 3</t>
  </si>
  <si>
    <t>Se FV a terra: dichiarazione di screening climatico (Allegato 19) predisposta</t>
  </si>
  <si>
    <t>art. 20</t>
  </si>
  <si>
    <t>Punti ancora aperti</t>
  </si>
  <si>
    <t xml:space="preserve">AVVERTENZA IMPORTANTE – RISULTATI INDICATIVI
Il presente simulatore costituisce esclusivamente uno strumento di valutazione preliminare e fornisce stime indicative, che devono essere verificate puntualmente prima di assumere qualsiasi decisione di investimento o di presentare domanda di agevolazione.
Alla data di predisposizione del simulatore, alcuni aspetti applicativi dell'Avviso sono ancora suscettibili di chiarimenti e interpretazioni.
Anche le stime relative a producibilità dell'impianto, autoconsumo, energia immessa in rete, risparmi economici e tempi di ritorno dell'investimento hanno carattere esclusivamente orientativo.
L'ammissibilità dell'impresa, del progetto, delle singole spese e l'effettiva entità dell'agevolazione devono pertanto essere verificate caso per caso sulla base dell'Avviso, dei successivi chiarimenti ufficiali e delle caratteristiche specifiche dell'investimento.
Per una valutazione puntuale dell'intervento e della relativa agevolazione, invitiamo a contattare direttamente Cogenlab S.r.l.
UTILIZZO DEL SIMULATORE
Il presente file, i relativi contenuti, la struttura di calcolo e le formule sono di proprietà di Cogenlab S.r.l. e sono messi a disposizione esclusivamente per finalità di consultazione e valutazione preliminare.
La riproduzione, la diffusione, la cessione a terzi, la modifica o il riutilizzo del file, in tutto o in parte, per finalità diverse da quelle sopra indicate non sono consentiti senza preventiva autorizzazione di Cogenlab S.r.l.
Proseguendo nell'utilizzo del file, l'utente dichiara di aver preso visione della presente avvertenza e di utilizzare il simulatore esclusivamente per le finalità indicate.
</t>
  </si>
  <si>
    <t>SIMULATORE FONTI RINNOVABILI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</si>
</sst>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-* #,##0.00\ _€_-;\-* #,##0.00\ _€_-;_-* &quot;-&quot;??\ _€_-;_-@_-"/>
    <numFmt numFmtId="165" formatCode="0.0%;\(0.0%\);\-"/>
    <numFmt numFmtId="166" formatCode="#,##0&quot; €&quot;;\(#,##0&quot; €)&quot;;\-"/>
    <numFmt numFmtId="167" formatCode="#,##0&quot; €/kWp&quot;"/>
    <numFmt numFmtId="168" formatCode="#,##0&quot; €/kWh&quot;"/>
    <numFmt numFmtId="169" formatCode="#,##0&quot; kWh/kWp&quot;"/>
    <numFmt numFmtId="170" formatCode="#,##0;\(#,##0\);\-"/>
    <numFmt numFmtId="171" formatCode="#,##0&quot; kWh&quot;;;\—"/>
    <numFmt numFmtId="172" formatCode="_-* #,##0.00&quot; €&quot;_-;\-* #,##0.00&quot; €&quot;_-;_-* \-??&quot; €&quot;_-;_-@_-"/>
    <numFmt numFmtId="173" formatCode="0.000&quot; €&quot;"/>
    <numFmt numFmtId="174" formatCode="0.000"/>
    <numFmt numFmtId="175" formatCode="#,##0.0;\(#,##0.0\);\-"/>
    <numFmt numFmtId="176" formatCode="#,##0&quot; €&quot;"/>
    <numFmt numFmtId="177" formatCode="#,##0.00&quot; €&quot;;\(#,##0.00&quot; €)&quot;;\-"/>
    <numFmt numFmtId="178" formatCode="_-* #,##0\ _€_-;\-* #,##0\ _€_-;_-* &quot;-&quot;??\ _€_-;_-@_-"/>
    <numFmt numFmtId="179" formatCode="0.0%"/>
    <numFmt numFmtId="180" formatCode="#,##0.0&quot;  t&quot;;;\—"/>
    <numFmt numFmtId="181" formatCode="#,##0.0&quot; kWh&quot;;;\—"/>
    <numFmt numFmtId="182" formatCode="#,##0.0&quot; kWp&quot;;;\—"/>
    <numFmt numFmtId="183" formatCode="0.0"/>
    <numFmt numFmtId="184" formatCode="_(\$* #,##0.00_);_(\$* \(#,##0.00\);_(\$* \-??_);_(@_)"/>
  </numFmts>
  <fonts count="54" x14ac:knownFonts="1">
    <font>
      <sz val="11"/>
      <color theme="1"/>
      <name val="Calibri"/>
    </font>
    <font>
      <b/>
      <sz val="13"/>
      <color rgb="FF1A1A1A"/>
      <name val="Arial"/>
    </font>
    <font>
      <sz val="9"/>
      <color rgb="FF8C8C8C"/>
      <name val="Arial"/>
    </font>
    <font>
      <b/>
      <sz val="13"/>
      <color rgb="FF1A1A1A"/>
      <name val="Arial"/>
    </font>
    <font>
      <sz val="9"/>
      <color rgb="FF8C8C8C"/>
      <name val="Arial"/>
    </font>
    <font>
      <b/>
      <sz val="10"/>
      <color rgb="FFFFFFFF"/>
      <name val="Arial"/>
    </font>
    <font>
      <sz val="10"/>
      <color rgb="FF404040"/>
      <name val="Arial"/>
    </font>
    <font>
      <sz val="10"/>
      <color rgb="FF1A1A1A"/>
      <name val="Arial"/>
    </font>
    <font>
      <i/>
      <sz val="8"/>
      <color rgb="FF8C8C8C"/>
      <name val="Arial"/>
    </font>
    <font>
      <b/>
      <sz val="10"/>
      <color rgb="FF1A1A1A"/>
      <name val="Arial"/>
    </font>
    <font>
      <b/>
      <sz val="14"/>
      <color rgb="FF0063A1"/>
      <name val="Arial"/>
    </font>
    <font>
      <b/>
      <sz val="9"/>
      <name val="Arial"/>
    </font>
    <font>
      <sz val="9"/>
      <color rgb="FF404040"/>
      <name val="Arial"/>
    </font>
    <font>
      <b/>
      <sz val="9"/>
      <color rgb="FF545454"/>
      <name val="Arial"/>
    </font>
    <font>
      <b/>
      <sz val="9"/>
      <color rgb="FFDB2333"/>
      <name val="Arial"/>
    </font>
    <font>
      <sz val="9"/>
      <name val="Arial"/>
    </font>
    <font>
      <sz val="10"/>
      <color rgb="FF0000FF"/>
      <name val="Arial"/>
    </font>
    <font>
      <b/>
      <sz val="16"/>
      <color rgb="FF1F3864"/>
      <name val="Arial"/>
    </font>
    <font>
      <i/>
      <sz val="10"/>
      <color rgb="FF595959"/>
      <name val="Arial"/>
    </font>
    <font>
      <b/>
      <sz val="10"/>
      <name val="Arial"/>
    </font>
    <font>
      <b/>
      <sz val="9"/>
      <color rgb="FFFFFFFF"/>
      <name val="Arial"/>
    </font>
    <font>
      <i/>
      <sz val="9"/>
      <color rgb="FF808080"/>
      <name val="Arial"/>
    </font>
    <font>
      <b/>
      <sz val="11"/>
      <color rgb="FFFFFFFF"/>
      <name val="Arial"/>
    </font>
    <font>
      <sz val="10"/>
      <name val="Arial"/>
    </font>
    <font>
      <b/>
      <sz val="11"/>
      <color rgb="FF1F3864"/>
      <name val="Arial"/>
    </font>
    <font>
      <sz val="10"/>
      <color rgb="FF008000"/>
      <name val="Arial"/>
    </font>
    <font>
      <b/>
      <sz val="10"/>
      <color rgb="FFFFFFFF"/>
      <name val="Arial"/>
    </font>
    <font>
      <sz val="11"/>
      <color theme="1"/>
      <name val="Calibri"/>
    </font>
    <font>
      <b/>
      <sz val="10"/>
      <color rgb="FF1F3864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i/>
      <sz val="10"/>
      <color rgb="FF595959"/>
      <name val="Arial"/>
    </font>
    <font>
      <b/>
      <sz val="16"/>
      <color rgb="FF1F3864"/>
      <name val="Arial"/>
    </font>
    <font>
      <b/>
      <sz val="10"/>
      <name val="Arial"/>
    </font>
    <font>
      <sz val="10"/>
      <name val="Arial"/>
    </font>
    <font>
      <b/>
      <sz val="10"/>
      <color theme="3" tint="0.39997558519241921"/>
      <name val="Arial"/>
    </font>
    <font>
      <sz val="10"/>
      <color rgb="FF00B0F0"/>
      <name val="Arial"/>
    </font>
    <font>
      <b/>
      <sz val="10"/>
      <color theme="3" tint="-0.249977111117893"/>
      <name val="Arial"/>
    </font>
    <font>
      <b/>
      <sz val="10"/>
      <color theme="5" tint="-0.249977111117893"/>
      <name val="Arial"/>
    </font>
    <font>
      <b/>
      <sz val="11"/>
      <name val="Arial"/>
    </font>
    <font>
      <sz val="9"/>
      <name val="Arial"/>
    </font>
    <font>
      <sz val="11"/>
      <name val="Arial"/>
    </font>
    <font>
      <sz val="11"/>
      <color rgb="FF0000FF"/>
      <name val="Arial"/>
    </font>
    <font>
      <sz val="10"/>
      <color rgb="FF404040"/>
      <name val="Arial"/>
    </font>
    <font>
      <i/>
      <sz val="9"/>
      <color rgb="FF808080"/>
      <name val="Arial"/>
    </font>
    <font>
      <i/>
      <sz val="8"/>
      <color rgb="FF8C8C8C"/>
      <name val="Arial"/>
    </font>
    <font>
      <b/>
      <sz val="10"/>
      <color rgb="FF1F4E78"/>
      <name val="Arial"/>
    </font>
    <font>
      <i/>
      <sz val="8"/>
      <color rgb="FF666666"/>
      <name val="Arial"/>
    </font>
    <font>
      <b/>
      <i/>
      <sz val="11"/>
      <name val="Arial"/>
    </font>
    <font>
      <b/>
      <sz val="14"/>
      <color rgb="FF17365D"/>
      <name val="Calibri"/>
    </font>
    <font>
      <b/>
      <sz val="11"/>
      <color rgb="FF17365D"/>
      <name val="Calibri"/>
    </font>
    <font>
      <sz val="11"/>
      <color rgb="FF333333"/>
      <name val="Calibri"/>
      <family val="2"/>
    </font>
    <font>
      <b/>
      <sz val="16"/>
      <color rgb="FFFFFFFF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3A1"/>
      </patternFill>
    </fill>
    <fill>
      <patternFill patternType="solid">
        <fgColor rgb="FFDB2333"/>
      </patternFill>
    </fill>
    <fill>
      <patternFill patternType="solid">
        <fgColor rgb="FFFCB43D"/>
      </patternFill>
    </fill>
    <fill>
      <patternFill patternType="solid">
        <fgColor rgb="FF545454"/>
      </patternFill>
    </fill>
    <fill>
      <patternFill patternType="solid">
        <fgColor rgb="FFF4F4F4"/>
      </patternFill>
    </fill>
    <fill>
      <patternFill patternType="solid">
        <fgColor rgb="FFFFFF00"/>
      </patternFill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DDEBF7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F3F6F9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545454"/>
      </top>
      <bottom/>
      <diagonal/>
    </border>
    <border>
      <left style="thin">
        <color rgb="FFB4C6E7"/>
      </left>
      <right/>
      <top style="thin">
        <color rgb="FFB4C6E7"/>
      </top>
      <bottom/>
      <diagonal/>
    </border>
    <border>
      <left/>
      <right/>
      <top style="thin">
        <color rgb="FFB4C6E7"/>
      </top>
      <bottom/>
      <diagonal/>
    </border>
    <border>
      <left/>
      <right style="thin">
        <color rgb="FFB4C6E7"/>
      </right>
      <top style="thin">
        <color rgb="FFB4C6E7"/>
      </top>
      <bottom/>
      <diagonal/>
    </border>
    <border>
      <left style="thin">
        <color rgb="FFB4C6E7"/>
      </left>
      <right/>
      <top/>
      <bottom/>
      <diagonal/>
    </border>
    <border>
      <left/>
      <right style="thin">
        <color rgb="FFB4C6E7"/>
      </right>
      <top/>
      <bottom/>
      <diagonal/>
    </border>
    <border>
      <left style="thin">
        <color rgb="FFB4C6E7"/>
      </left>
      <right/>
      <top/>
      <bottom style="thin">
        <color rgb="FFB4C6E7"/>
      </bottom>
      <diagonal/>
    </border>
    <border>
      <left/>
      <right/>
      <top/>
      <bottom style="thin">
        <color rgb="FFB4C6E7"/>
      </bottom>
      <diagonal/>
    </border>
    <border>
      <left/>
      <right style="thin">
        <color rgb="FFB4C6E7"/>
      </right>
      <top/>
      <bottom style="thin">
        <color rgb="FFB4C6E7"/>
      </bottom>
      <diagonal/>
    </border>
  </borders>
  <cellStyleXfs count="4">
    <xf numFmtId="0" fontId="0" fillId="0" borderId="19"/>
    <xf numFmtId="184" fontId="30" fillId="0" borderId="19"/>
    <xf numFmtId="9" fontId="30" fillId="0" borderId="19"/>
    <xf numFmtId="164" fontId="30" fillId="0" borderId="19"/>
  </cellStyleXfs>
  <cellXfs count="160">
    <xf numFmtId="0" fontId="0" fillId="0" borderId="0" xfId="0" applyBorder="1"/>
    <xf numFmtId="0" fontId="0" fillId="2" borderId="0" xfId="0" applyFill="1" applyBorder="1"/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5" fillId="6" borderId="0" xfId="0" applyFont="1" applyFill="1" applyBorder="1" applyAlignment="1">
      <alignment vertical="center"/>
    </xf>
    <xf numFmtId="0" fontId="0" fillId="6" borderId="0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0" borderId="5" xfId="0" applyBorder="1"/>
    <xf numFmtId="0" fontId="0" fillId="6" borderId="6" xfId="0" applyFill="1" applyBorder="1"/>
    <xf numFmtId="0" fontId="0" fillId="2" borderId="5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11" fillId="2" borderId="0" xfId="0" applyFont="1" applyFill="1" applyBorder="1"/>
    <xf numFmtId="0" fontId="14" fillId="2" borderId="0" xfId="0" applyFont="1" applyFill="1" applyBorder="1"/>
    <xf numFmtId="0" fontId="15" fillId="0" borderId="0" xfId="0" applyFont="1" applyBorder="1"/>
    <xf numFmtId="0" fontId="17" fillId="0" borderId="0" xfId="0" applyFont="1" applyBorder="1"/>
    <xf numFmtId="0" fontId="20" fillId="9" borderId="0" xfId="0" applyFont="1" applyFill="1" applyBorder="1" applyAlignment="1">
      <alignment horizontal="center" vertical="center" wrapText="1"/>
    </xf>
    <xf numFmtId="0" fontId="15" fillId="0" borderId="10" xfId="0" applyFont="1" applyBorder="1"/>
    <xf numFmtId="0" fontId="11" fillId="0" borderId="0" xfId="0" applyFont="1" applyBorder="1"/>
    <xf numFmtId="0" fontId="21" fillId="0" borderId="0" xfId="0" applyFont="1" applyBorder="1"/>
    <xf numFmtId="10" fontId="15" fillId="0" borderId="10" xfId="0" applyNumberFormat="1" applyFont="1" applyBorder="1"/>
    <xf numFmtId="0" fontId="23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6" fillId="9" borderId="0" xfId="0" applyFont="1" applyFill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/>
    </xf>
    <xf numFmtId="0" fontId="21" fillId="0" borderId="10" xfId="0" applyFont="1" applyBorder="1" applyAlignment="1">
      <alignment vertical="center" wrapText="1"/>
    </xf>
    <xf numFmtId="0" fontId="26" fillId="9" borderId="0" xfId="0" applyFont="1" applyFill="1" applyBorder="1" applyAlignment="1">
      <alignment horizontal="center"/>
    </xf>
    <xf numFmtId="0" fontId="21" fillId="0" borderId="10" xfId="0" applyFont="1" applyBorder="1"/>
    <xf numFmtId="0" fontId="21" fillId="0" borderId="0" xfId="0" applyFont="1" applyBorder="1" applyAlignment="1">
      <alignment vertical="center" wrapText="1"/>
    </xf>
    <xf numFmtId="0" fontId="29" fillId="0" borderId="0" xfId="0" applyFont="1" applyBorder="1"/>
    <xf numFmtId="0" fontId="0" fillId="0" borderId="0" xfId="0" applyBorder="1" applyAlignment="1">
      <alignment wrapText="1"/>
    </xf>
    <xf numFmtId="0" fontId="19" fillId="0" borderId="0" xfId="0" applyFont="1" applyBorder="1"/>
    <xf numFmtId="0" fontId="0" fillId="0" borderId="0" xfId="0" applyBorder="1" applyAlignment="1">
      <alignment vertical="center"/>
    </xf>
    <xf numFmtId="0" fontId="22" fillId="9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10" fontId="27" fillId="0" borderId="11" xfId="2" applyNumberFormat="1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44" fillId="2" borderId="12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45" fillId="0" borderId="0" xfId="0" applyFont="1" applyBorder="1" applyAlignment="1">
      <alignment vertical="center"/>
    </xf>
    <xf numFmtId="0" fontId="15" fillId="2" borderId="0" xfId="0" applyFont="1" applyFill="1" applyBorder="1"/>
    <xf numFmtId="0" fontId="41" fillId="2" borderId="0" xfId="0" applyFont="1" applyFill="1" applyBorder="1"/>
    <xf numFmtId="0" fontId="16" fillId="8" borderId="14" xfId="0" applyFont="1" applyFill="1" applyBorder="1" applyAlignment="1" applyProtection="1">
      <alignment horizontal="right" vertical="center"/>
      <protection locked="0"/>
    </xf>
    <xf numFmtId="0" fontId="28" fillId="11" borderId="10" xfId="0" applyFont="1" applyFill="1" applyBorder="1" applyAlignment="1" applyProtection="1">
      <alignment horizontal="right" vertical="center"/>
      <protection hidden="1"/>
    </xf>
    <xf numFmtId="0" fontId="23" fillId="0" borderId="10" xfId="0" applyFont="1" applyBorder="1" applyAlignment="1" applyProtection="1">
      <alignment horizontal="right" vertical="center"/>
      <protection hidden="1"/>
    </xf>
    <xf numFmtId="0" fontId="43" fillId="8" borderId="14" xfId="0" applyFont="1" applyFill="1" applyBorder="1" applyAlignment="1" applyProtection="1">
      <alignment horizontal="right" vertical="center"/>
      <protection locked="0"/>
    </xf>
    <xf numFmtId="178" fontId="43" fillId="8" borderId="14" xfId="3" applyNumberFormat="1" applyFont="1" applyFill="1" applyBorder="1" applyAlignment="1" applyProtection="1">
      <alignment horizontal="right" vertical="center"/>
      <protection locked="0"/>
    </xf>
    <xf numFmtId="164" fontId="43" fillId="8" borderId="14" xfId="3" applyFont="1" applyFill="1" applyBorder="1" applyAlignment="1" applyProtection="1">
      <alignment horizontal="right" vertical="center"/>
      <protection locked="0"/>
    </xf>
    <xf numFmtId="175" fontId="42" fillId="0" borderId="10" xfId="0" applyNumberFormat="1" applyFont="1" applyBorder="1" applyAlignment="1" applyProtection="1">
      <alignment horizontal="right" vertical="center"/>
      <protection hidden="1"/>
    </xf>
    <xf numFmtId="175" fontId="23" fillId="0" borderId="10" xfId="0" applyNumberFormat="1" applyFont="1" applyBorder="1" applyAlignment="1" applyProtection="1">
      <alignment horizontal="right" vertical="center"/>
      <protection hidden="1"/>
    </xf>
    <xf numFmtId="175" fontId="16" fillId="8" borderId="10" xfId="0" applyNumberFormat="1" applyFont="1" applyFill="1" applyBorder="1" applyAlignment="1" applyProtection="1">
      <alignment horizontal="right" vertical="center"/>
      <protection locked="0"/>
    </xf>
    <xf numFmtId="176" fontId="23" fillId="0" borderId="16" xfId="0" applyNumberFormat="1" applyFont="1" applyBorder="1" applyAlignment="1" applyProtection="1">
      <alignment horizontal="right" vertical="center"/>
      <protection hidden="1"/>
    </xf>
    <xf numFmtId="176" fontId="16" fillId="8" borderId="14" xfId="0" applyNumberFormat="1" applyFont="1" applyFill="1" applyBorder="1" applyAlignment="1" applyProtection="1">
      <alignment horizontal="right" vertical="center"/>
      <protection locked="0"/>
    </xf>
    <xf numFmtId="165" fontId="23" fillId="0" borderId="15" xfId="0" applyNumberFormat="1" applyFont="1" applyBorder="1" applyAlignment="1" applyProtection="1">
      <alignment horizontal="right" vertical="center"/>
      <protection hidden="1"/>
    </xf>
    <xf numFmtId="176" fontId="23" fillId="0" borderId="10" xfId="0" applyNumberFormat="1" applyFont="1" applyBorder="1" applyAlignment="1" applyProtection="1">
      <alignment horizontal="right" vertical="center"/>
      <protection hidden="1"/>
    </xf>
    <xf numFmtId="165" fontId="23" fillId="0" borderId="10" xfId="0" applyNumberFormat="1" applyFont="1" applyBorder="1" applyAlignment="1" applyProtection="1">
      <alignment horizontal="right" vertical="center"/>
      <protection hidden="1"/>
    </xf>
    <xf numFmtId="166" fontId="23" fillId="0" borderId="10" xfId="0" applyNumberFormat="1" applyFont="1" applyBorder="1" applyAlignment="1" applyProtection="1">
      <alignment horizontal="right" vertical="center"/>
      <protection hidden="1"/>
    </xf>
    <xf numFmtId="166" fontId="23" fillId="0" borderId="16" xfId="0" applyNumberFormat="1" applyFont="1" applyBorder="1" applyAlignment="1" applyProtection="1">
      <alignment horizontal="right" vertical="center"/>
      <protection hidden="1"/>
    </xf>
    <xf numFmtId="166" fontId="16" fillId="8" borderId="14" xfId="0" applyNumberFormat="1" applyFont="1" applyFill="1" applyBorder="1" applyAlignment="1" applyProtection="1">
      <alignment horizontal="right" vertical="center"/>
      <protection locked="0"/>
    </xf>
    <xf numFmtId="166" fontId="23" fillId="0" borderId="15" xfId="0" applyNumberFormat="1" applyFont="1" applyBorder="1" applyAlignment="1" applyProtection="1">
      <alignment horizontal="right" vertical="center"/>
      <protection hidden="1"/>
    </xf>
    <xf numFmtId="0" fontId="31" fillId="0" borderId="0" xfId="0" applyFont="1" applyBorder="1" applyAlignment="1" applyProtection="1">
      <alignment vertical="center"/>
      <protection hidden="1"/>
    </xf>
    <xf numFmtId="166" fontId="24" fillId="10" borderId="10" xfId="0" applyNumberFormat="1" applyFont="1" applyFill="1" applyBorder="1" applyAlignment="1" applyProtection="1">
      <alignment horizontal="right" vertical="center"/>
      <protection hidden="1"/>
    </xf>
    <xf numFmtId="0" fontId="23" fillId="0" borderId="16" xfId="0" applyFont="1" applyBorder="1" applyAlignment="1" applyProtection="1">
      <alignment horizontal="right" vertical="center"/>
      <protection hidden="1"/>
    </xf>
    <xf numFmtId="177" fontId="23" fillId="0" borderId="10" xfId="0" applyNumberFormat="1" applyFont="1" applyBorder="1" applyAlignment="1" applyProtection="1">
      <alignment horizontal="right" vertical="center"/>
      <protection hidden="1"/>
    </xf>
    <xf numFmtId="10" fontId="16" fillId="8" borderId="14" xfId="0" applyNumberFormat="1" applyFont="1" applyFill="1" applyBorder="1" applyAlignment="1" applyProtection="1">
      <alignment horizontal="right" vertical="center"/>
      <protection locked="0"/>
    </xf>
    <xf numFmtId="166" fontId="24" fillId="10" borderId="17" xfId="0" applyNumberFormat="1" applyFont="1" applyFill="1" applyBorder="1" applyAlignment="1" applyProtection="1">
      <alignment horizontal="right" vertical="center"/>
      <protection hidden="1"/>
    </xf>
    <xf numFmtId="170" fontId="16" fillId="8" borderId="14" xfId="0" applyNumberFormat="1" applyFont="1" applyFill="1" applyBorder="1" applyAlignment="1" applyProtection="1">
      <alignment horizontal="right" vertical="center"/>
      <protection locked="0"/>
    </xf>
    <xf numFmtId="166" fontId="40" fillId="0" borderId="10" xfId="0" applyNumberFormat="1" applyFont="1" applyBorder="1" applyAlignment="1" applyProtection="1">
      <alignment horizontal="right" vertical="center"/>
      <protection hidden="1"/>
    </xf>
    <xf numFmtId="166" fontId="37" fillId="0" borderId="13" xfId="0" applyNumberFormat="1" applyFont="1" applyBorder="1" applyAlignment="1" applyProtection="1">
      <alignment horizontal="right" vertical="center"/>
      <protection hidden="1"/>
    </xf>
    <xf numFmtId="166" fontId="39" fillId="0" borderId="10" xfId="0" applyNumberFormat="1" applyFont="1" applyBorder="1" applyAlignment="1" applyProtection="1">
      <alignment horizontal="right" vertical="center"/>
      <protection hidden="1"/>
    </xf>
    <xf numFmtId="166" fontId="36" fillId="0" borderId="10" xfId="0" applyNumberFormat="1" applyFont="1" applyBorder="1" applyAlignment="1" applyProtection="1">
      <alignment horizontal="right" vertical="center"/>
      <protection hidden="1"/>
    </xf>
    <xf numFmtId="166" fontId="38" fillId="0" borderId="10" xfId="0" applyNumberFormat="1" applyFont="1" applyBorder="1" applyAlignment="1" applyProtection="1">
      <alignment horizontal="right" vertical="center"/>
      <protection hidden="1"/>
    </xf>
    <xf numFmtId="165" fontId="24" fillId="10" borderId="10" xfId="0" applyNumberFormat="1" applyFont="1" applyFill="1" applyBorder="1" applyAlignment="1" applyProtection="1">
      <alignment horizontal="right" vertical="center"/>
      <protection hidden="1"/>
    </xf>
    <xf numFmtId="170" fontId="25" fillId="0" borderId="10" xfId="0" applyNumberFormat="1" applyFont="1" applyBorder="1" applyAlignment="1" applyProtection="1">
      <alignment horizontal="right" vertical="center"/>
      <protection hidden="1"/>
    </xf>
    <xf numFmtId="0" fontId="24" fillId="10" borderId="10" xfId="0" applyFont="1" applyFill="1" applyBorder="1" applyAlignment="1" applyProtection="1">
      <alignment horizontal="right" vertical="center"/>
      <protection hidden="1"/>
    </xf>
    <xf numFmtId="171" fontId="7" fillId="2" borderId="12" xfId="0" applyNumberFormat="1" applyFont="1" applyFill="1" applyBorder="1" applyAlignment="1">
      <alignment horizontal="right" vertical="center"/>
    </xf>
    <xf numFmtId="171" fontId="7" fillId="2" borderId="12" xfId="0" applyNumberFormat="1" applyFont="1" applyFill="1" applyBorder="1" applyAlignment="1" applyProtection="1">
      <alignment horizontal="right" vertical="center"/>
      <protection hidden="1"/>
    </xf>
    <xf numFmtId="179" fontId="27" fillId="0" borderId="18" xfId="2" applyNumberFormat="1" applyFont="1" applyBorder="1" applyAlignment="1">
      <alignment vertical="center"/>
    </xf>
    <xf numFmtId="2" fontId="0" fillId="3" borderId="5" xfId="0" applyNumberFormat="1" applyFill="1" applyBorder="1" applyProtection="1">
      <protection hidden="1"/>
    </xf>
    <xf numFmtId="2" fontId="0" fillId="4" borderId="5" xfId="0" applyNumberFormat="1" applyFill="1" applyBorder="1" applyProtection="1">
      <protection hidden="1"/>
    </xf>
    <xf numFmtId="9" fontId="27" fillId="5" borderId="5" xfId="2" applyFont="1" applyFill="1" applyBorder="1" applyProtection="1">
      <protection hidden="1"/>
    </xf>
    <xf numFmtId="172" fontId="27" fillId="0" borderId="5" xfId="1" applyNumberFormat="1" applyFont="1" applyBorder="1" applyProtection="1">
      <protection hidden="1"/>
    </xf>
    <xf numFmtId="173" fontId="16" fillId="8" borderId="10" xfId="0" applyNumberFormat="1" applyFont="1" applyFill="1" applyBorder="1" applyProtection="1">
      <protection hidden="1"/>
    </xf>
    <xf numFmtId="179" fontId="47" fillId="12" borderId="10" xfId="0" applyNumberFormat="1" applyFont="1" applyFill="1" applyBorder="1" applyProtection="1">
      <protection hidden="1"/>
    </xf>
    <xf numFmtId="165" fontId="16" fillId="8" borderId="10" xfId="0" applyNumberFormat="1" applyFont="1" applyFill="1" applyBorder="1" applyProtection="1">
      <protection locked="0"/>
    </xf>
    <xf numFmtId="174" fontId="16" fillId="8" borderId="10" xfId="0" applyNumberFormat="1" applyFont="1" applyFill="1" applyBorder="1" applyProtection="1">
      <protection locked="0"/>
    </xf>
    <xf numFmtId="166" fontId="0" fillId="2" borderId="0" xfId="0" applyNumberFormat="1" applyFill="1" applyBorder="1" applyProtection="1">
      <protection hidden="1"/>
    </xf>
    <xf numFmtId="166" fontId="0" fillId="0" borderId="0" xfId="0" applyNumberFormat="1" applyBorder="1" applyProtection="1">
      <protection hidden="1"/>
    </xf>
    <xf numFmtId="172" fontId="0" fillId="0" borderId="0" xfId="0" applyNumberFormat="1" applyBorder="1" applyProtection="1">
      <protection hidden="1"/>
    </xf>
    <xf numFmtId="183" fontId="0" fillId="0" borderId="5" xfId="0" applyNumberFormat="1" applyBorder="1" applyProtection="1">
      <protection hidden="1"/>
    </xf>
    <xf numFmtId="165" fontId="15" fillId="0" borderId="10" xfId="0" applyNumberFormat="1" applyFont="1" applyBorder="1"/>
    <xf numFmtId="166" fontId="15" fillId="0" borderId="10" xfId="0" applyNumberFormat="1" applyFont="1" applyBorder="1"/>
    <xf numFmtId="167" fontId="15" fillId="0" borderId="10" xfId="0" applyNumberFormat="1" applyFont="1" applyBorder="1"/>
    <xf numFmtId="168" fontId="15" fillId="0" borderId="10" xfId="0" applyNumberFormat="1" applyFont="1" applyBorder="1"/>
    <xf numFmtId="169" fontId="15" fillId="0" borderId="10" xfId="0" applyNumberFormat="1" applyFont="1" applyBorder="1"/>
    <xf numFmtId="170" fontId="15" fillId="0" borderId="10" xfId="0" applyNumberFormat="1" applyFont="1" applyBorder="1"/>
    <xf numFmtId="0" fontId="16" fillId="8" borderId="10" xfId="0" applyFont="1" applyFill="1" applyBorder="1" applyAlignment="1" applyProtection="1">
      <alignment horizontal="center"/>
      <protection locked="0"/>
    </xf>
    <xf numFmtId="0" fontId="25" fillId="0" borderId="10" xfId="0" applyFont="1" applyBorder="1" applyAlignment="1" applyProtection="1">
      <alignment horizontal="center"/>
      <protection hidden="1"/>
    </xf>
    <xf numFmtId="0" fontId="19" fillId="0" borderId="0" xfId="0" applyFont="1" applyBorder="1" applyProtection="1">
      <protection hidden="1"/>
    </xf>
    <xf numFmtId="0" fontId="24" fillId="10" borderId="10" xfId="0" applyFont="1" applyFill="1" applyBorder="1" applyAlignment="1" applyProtection="1">
      <alignment horizontal="center"/>
      <protection hidden="1"/>
    </xf>
    <xf numFmtId="170" fontId="25" fillId="0" borderId="10" xfId="0" applyNumberFormat="1" applyFont="1" applyBorder="1" applyAlignment="1" applyProtection="1">
      <alignment horizontal="center"/>
      <protection hidden="1"/>
    </xf>
    <xf numFmtId="0" fontId="53" fillId="13" borderId="19" xfId="0" applyFont="1" applyFill="1" applyAlignment="1">
      <alignment horizontal="center"/>
    </xf>
    <xf numFmtId="0" fontId="0" fillId="0" borderId="19" xfId="0"/>
    <xf numFmtId="0" fontId="50" fillId="0" borderId="19" xfId="0" applyFont="1" applyAlignment="1">
      <alignment horizontal="center"/>
    </xf>
    <xf numFmtId="0" fontId="51" fillId="0" borderId="19" xfId="0" applyFont="1" applyAlignment="1">
      <alignment horizontal="center"/>
    </xf>
    <xf numFmtId="0" fontId="52" fillId="14" borderId="22" xfId="0" applyFont="1" applyFill="1" applyBorder="1" applyAlignment="1">
      <alignment horizontal="left" vertical="top" wrapText="1"/>
    </xf>
    <xf numFmtId="0" fontId="52" fillId="14" borderId="23" xfId="0" applyFont="1" applyFill="1" applyBorder="1" applyAlignment="1">
      <alignment horizontal="left" vertical="top" wrapText="1"/>
    </xf>
    <xf numFmtId="0" fontId="52" fillId="14" borderId="24" xfId="0" applyFont="1" applyFill="1" applyBorder="1" applyAlignment="1">
      <alignment horizontal="left" vertical="top" wrapText="1"/>
    </xf>
    <xf numFmtId="0" fontId="52" fillId="14" borderId="25" xfId="0" applyFont="1" applyFill="1" applyBorder="1" applyAlignment="1">
      <alignment horizontal="left" vertical="top" wrapText="1"/>
    </xf>
    <xf numFmtId="0" fontId="52" fillId="14" borderId="19" xfId="0" applyFont="1" applyFill="1" applyAlignment="1">
      <alignment horizontal="left" vertical="top" wrapText="1"/>
    </xf>
    <xf numFmtId="0" fontId="52" fillId="14" borderId="26" xfId="0" applyFont="1" applyFill="1" applyBorder="1" applyAlignment="1">
      <alignment horizontal="left" vertical="top" wrapText="1"/>
    </xf>
    <xf numFmtId="0" fontId="52" fillId="14" borderId="27" xfId="0" applyFont="1" applyFill="1" applyBorder="1" applyAlignment="1">
      <alignment horizontal="left" vertical="top" wrapText="1"/>
    </xf>
    <xf numFmtId="0" fontId="52" fillId="14" borderId="28" xfId="0" applyFont="1" applyFill="1" applyBorder="1" applyAlignment="1">
      <alignment horizontal="left" vertical="top" wrapText="1"/>
    </xf>
    <xf numFmtId="0" fontId="52" fillId="14" borderId="29" xfId="0" applyFont="1" applyFill="1" applyBorder="1" applyAlignment="1">
      <alignment horizontal="left" vertical="top" wrapText="1"/>
    </xf>
    <xf numFmtId="0" fontId="33" fillId="0" borderId="19" xfId="0" applyFont="1" applyAlignment="1">
      <alignment horizontal="center" vertical="center" wrapText="1"/>
    </xf>
    <xf numFmtId="0" fontId="32" fillId="0" borderId="19" xfId="0" applyFont="1" applyAlignment="1">
      <alignment horizontal="center" vertical="center" wrapText="1"/>
    </xf>
    <xf numFmtId="0" fontId="0" fillId="0" borderId="0" xfId="0" applyBorder="1"/>
    <xf numFmtId="0" fontId="8" fillId="2" borderId="20" xfId="0" applyFont="1" applyFill="1" applyBorder="1" applyAlignment="1">
      <alignment vertical="center" wrapText="1"/>
    </xf>
    <xf numFmtId="0" fontId="0" fillId="0" borderId="20" xfId="0" applyBorder="1"/>
    <xf numFmtId="0" fontId="9" fillId="2" borderId="20" xfId="0" applyFont="1" applyFill="1" applyBorder="1" applyAlignment="1">
      <alignment vertical="center"/>
    </xf>
    <xf numFmtId="166" fontId="10" fillId="7" borderId="20" xfId="0" applyNumberFormat="1" applyFont="1" applyFill="1" applyBorder="1" applyAlignment="1" applyProtection="1">
      <alignment horizontal="right" vertical="center"/>
      <protection hidden="1"/>
    </xf>
    <xf numFmtId="166" fontId="3" fillId="2" borderId="20" xfId="0" applyNumberFormat="1" applyFont="1" applyFill="1" applyBorder="1" applyAlignment="1" applyProtection="1">
      <alignment horizontal="right" vertical="center"/>
      <protection hidden="1"/>
    </xf>
    <xf numFmtId="0" fontId="6" fillId="2" borderId="20" xfId="0" applyFont="1" applyFill="1" applyBorder="1" applyAlignment="1">
      <alignment vertical="center"/>
    </xf>
    <xf numFmtId="166" fontId="7" fillId="2" borderId="20" xfId="0" applyNumberFormat="1" applyFont="1" applyFill="1" applyBorder="1" applyAlignment="1" applyProtection="1">
      <alignment horizontal="right" vertical="center"/>
      <protection hidden="1"/>
    </xf>
    <xf numFmtId="182" fontId="7" fillId="2" borderId="20" xfId="0" applyNumberFormat="1" applyFont="1" applyFill="1" applyBorder="1" applyAlignment="1" applyProtection="1">
      <alignment horizontal="right" vertical="center"/>
      <protection hidden="1"/>
    </xf>
    <xf numFmtId="179" fontId="10" fillId="7" borderId="20" xfId="0" applyNumberFormat="1" applyFont="1" applyFill="1" applyBorder="1" applyAlignment="1" applyProtection="1">
      <alignment horizontal="right" vertical="center"/>
      <protection hidden="1"/>
    </xf>
    <xf numFmtId="0" fontId="8" fillId="2" borderId="21" xfId="0" applyFont="1" applyFill="1" applyBorder="1" applyAlignment="1">
      <alignment vertical="top" wrapText="1"/>
    </xf>
    <xf numFmtId="0" fontId="0" fillId="0" borderId="21" xfId="0" applyBorder="1"/>
    <xf numFmtId="0" fontId="2" fillId="2" borderId="19" xfId="0" applyFont="1" applyFill="1" applyAlignment="1">
      <alignment horizontal="right" vertical="center" wrapText="1"/>
    </xf>
    <xf numFmtId="0" fontId="41" fillId="2" borderId="19" xfId="0" applyFont="1" applyFill="1"/>
    <xf numFmtId="0" fontId="8" fillId="7" borderId="20" xfId="0" applyFont="1" applyFill="1" applyBorder="1" applyAlignment="1">
      <alignment vertical="center" wrapText="1"/>
    </xf>
    <xf numFmtId="171" fontId="7" fillId="2" borderId="20" xfId="0" applyNumberFormat="1" applyFont="1" applyFill="1" applyBorder="1" applyAlignment="1" applyProtection="1">
      <alignment horizontal="right" vertical="center"/>
      <protection hidden="1"/>
    </xf>
    <xf numFmtId="0" fontId="46" fillId="2" borderId="20" xfId="0" applyFont="1" applyFill="1" applyBorder="1" applyAlignment="1">
      <alignment vertical="center" wrapText="1"/>
    </xf>
    <xf numFmtId="0" fontId="12" fillId="2" borderId="19" xfId="0" applyFont="1" applyFill="1" applyAlignment="1">
      <alignment vertical="center" wrapText="1"/>
    </xf>
    <xf numFmtId="0" fontId="6" fillId="7" borderId="20" xfId="0" applyFont="1" applyFill="1" applyBorder="1" applyAlignment="1">
      <alignment vertical="center"/>
    </xf>
    <xf numFmtId="179" fontId="27" fillId="0" borderId="19" xfId="2" applyNumberFormat="1" applyFont="1" applyAlignment="1" applyProtection="1">
      <alignment horizontal="center" vertical="center"/>
      <protection hidden="1"/>
    </xf>
    <xf numFmtId="0" fontId="4" fillId="2" borderId="19" xfId="0" applyFont="1" applyFill="1" applyAlignment="1" applyProtection="1">
      <alignment horizontal="right" vertical="center"/>
      <protection hidden="1"/>
    </xf>
    <xf numFmtId="0" fontId="15" fillId="2" borderId="19" xfId="0" applyFont="1" applyFill="1"/>
    <xf numFmtId="0" fontId="12" fillId="2" borderId="19" xfId="0" applyFont="1" applyFill="1" applyAlignment="1" applyProtection="1">
      <alignment vertical="center" wrapText="1"/>
      <protection hidden="1"/>
    </xf>
    <xf numFmtId="0" fontId="44" fillId="2" borderId="20" xfId="0" applyFont="1" applyFill="1" applyBorder="1" applyAlignment="1">
      <alignment vertical="center"/>
    </xf>
    <xf numFmtId="0" fontId="1" fillId="2" borderId="19" xfId="0" applyFont="1" applyFill="1" applyAlignment="1">
      <alignment horizontal="right" vertical="center"/>
    </xf>
    <xf numFmtId="0" fontId="3" fillId="2" borderId="19" xfId="0" applyFont="1" applyFill="1" applyAlignment="1" applyProtection="1">
      <alignment vertical="center"/>
      <protection hidden="1"/>
    </xf>
    <xf numFmtId="179" fontId="49" fillId="2" borderId="20" xfId="0" applyNumberFormat="1" applyFont="1" applyFill="1" applyBorder="1" applyAlignment="1" applyProtection="1">
      <alignment horizontal="center" vertical="center" wrapText="1"/>
      <protection hidden="1"/>
    </xf>
    <xf numFmtId="181" fontId="7" fillId="2" borderId="20" xfId="0" applyNumberFormat="1" applyFont="1" applyFill="1" applyBorder="1" applyAlignment="1" applyProtection="1">
      <alignment horizontal="right" vertical="center"/>
      <protection hidden="1"/>
    </xf>
    <xf numFmtId="0" fontId="48" fillId="2" borderId="19" xfId="0" applyFont="1" applyFill="1" applyAlignment="1">
      <alignment wrapText="1"/>
    </xf>
    <xf numFmtId="0" fontId="13" fillId="2" borderId="19" xfId="0" applyFont="1" applyFill="1" applyAlignment="1">
      <alignment horizontal="center"/>
    </xf>
    <xf numFmtId="180" fontId="7" fillId="2" borderId="20" xfId="0" applyNumberFormat="1" applyFont="1" applyFill="1" applyBorder="1" applyAlignment="1" applyProtection="1">
      <alignment horizontal="right" vertical="center"/>
      <protection hidden="1"/>
    </xf>
    <xf numFmtId="0" fontId="8" fillId="2" borderId="19" xfId="0" applyFont="1" applyFill="1" applyAlignment="1" applyProtection="1">
      <alignment vertical="center" wrapText="1"/>
      <protection hidden="1"/>
    </xf>
    <xf numFmtId="177" fontId="7" fillId="2" borderId="20" xfId="0" applyNumberFormat="1" applyFont="1" applyFill="1" applyBorder="1" applyAlignment="1" applyProtection="1">
      <alignment horizontal="right" vertical="center"/>
      <protection hidden="1"/>
    </xf>
    <xf numFmtId="0" fontId="21" fillId="0" borderId="19" xfId="0" applyFont="1" applyAlignment="1">
      <alignment vertical="top" wrapText="1"/>
    </xf>
    <xf numFmtId="0" fontId="18" fillId="0" borderId="19" xfId="0" applyFont="1" applyAlignment="1">
      <alignment vertical="top" wrapText="1"/>
    </xf>
  </cellXfs>
  <cellStyles count="4">
    <cellStyle name="Migliaia" xfId="3" xr:uid="{00000000-0005-0000-0000-000000000000}"/>
    <cellStyle name="Normale" xfId="0" builtinId="0"/>
    <cellStyle name="Percentuale" xfId="2" xr:uid="{00000000-0005-0000-0000-000002000000}"/>
    <cellStyle name="Valuta" xfId="1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878787"/>
      <rgbColor rgb="FFC0504D"/>
      <rgbColor rgb="FFF4F4F4"/>
      <rgbColor rgb="FFDDEBF7"/>
      <rgbColor rgb="FF660066"/>
      <rgbColor rgb="FFFF8080"/>
      <rgbColor rgb="FF0063A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4F81BD"/>
      <rgbColor rgb="FF33CCCC"/>
      <rgbColor rgb="FF99CC00"/>
      <rgbColor rgb="FFFCB43D"/>
      <rgbColor rgb="FFFF9900"/>
      <rgbColor rgb="FFC55A11"/>
      <rgbColor rgb="FF595959"/>
      <rgbColor rgb="FF8C8C8C"/>
      <rgbColor rgb="FF1F3864"/>
      <rgbColor rgb="FF339966"/>
      <rgbColor rgb="FF006100"/>
      <rgbColor rgb="FF1A1A1A"/>
      <rgbColor rgb="FFDB2333"/>
      <rgbColor rgb="FFE33935"/>
      <rgbColor rgb="FF545454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r>
              <a:rPr lang="it-IT" sz="1800" b="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Chi copre l'investimento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  <a:prstDash val="solid"/>
            </a:ln>
          </c:spPr>
          <c:explosion val="19"/>
          <c:dPt>
            <c:idx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7A-4701-ADD4-3773E59980A6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7A-4701-ADD4-3773E59980A6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7A-4701-ADD4-3773E59980A6}"/>
              </c:ext>
            </c:extLst>
          </c:dPt>
          <c:dLbls>
            <c:dLbl>
              <c:idx val="0"/>
              <c:spPr/>
              <c:txPr>
                <a:bodyPr anchorCtr="1"/>
                <a:lstStyle/>
                <a:p>
                  <a:pPr>
                    <a:defRPr sz="1000" b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87A-4701-ADD4-3773E59980A6}"/>
                </c:ext>
              </c:extLst>
            </c:dLbl>
            <c:dLbl>
              <c:idx val="1"/>
              <c:spPr/>
              <c:txPr>
                <a:bodyPr anchorCtr="1"/>
                <a:lstStyle/>
                <a:p>
                  <a:pPr>
                    <a:defRPr sz="1000" b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87A-4701-ADD4-3773E59980A6}"/>
                </c:ext>
              </c:extLst>
            </c:dLbl>
            <c:dLbl>
              <c:idx val="2"/>
              <c:spPr/>
              <c:txPr>
                <a:bodyPr anchorCtr="1"/>
                <a:lstStyle/>
                <a:p>
                  <a:pPr>
                    <a:defRPr sz="1000" b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87A-4701-ADD4-3773E59980A6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t-I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'Scheda Cliente'!$A$121:$A$123</c:f>
              <c:strCache>
                <c:ptCount val="3"/>
                <c:pt idx="0">
                  <c:v>Remissione del debito</c:v>
                </c:pt>
                <c:pt idx="1">
                  <c:v>Risparmio fiscale</c:v>
                </c:pt>
                <c:pt idx="2">
                  <c:v>A carico dell'azienda</c:v>
                </c:pt>
              </c:strCache>
            </c:strRef>
          </c:cat>
          <c:val>
            <c:numRef>
              <c:f>'Scheda Cliente'!$B$121:$B$123</c:f>
              <c:numCache>
                <c:formatCode>#,##0" €";\(#,##0" €)";\-</c:formatCode>
                <c:ptCount val="3"/>
                <c:pt idx="0">
                  <c:v>61610.000000000007</c:v>
                </c:pt>
                <c:pt idx="1">
                  <c:v>47365.277039999994</c:v>
                </c:pt>
                <c:pt idx="2">
                  <c:v>70624.722960000014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7A-4701-ADD4-3773E59980A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spPr>
        <a:noFill/>
        <a:ln>
          <a:prstDash val="solid"/>
        </a:ln>
      </c:spPr>
      <c:txPr>
        <a:bodyPr anchorCtr="1"/>
        <a:lstStyle/>
        <a:p>
          <a:pPr>
            <a:defRPr sz="1000" b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it-IT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r>
              <a:rPr lang="it-IT" sz="1800" b="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Flusso di cassa annuo durante il rimborso</a:t>
            </a:r>
          </a:p>
        </c:rich>
      </c:tx>
      <c:layout>
        <c:manualLayout>
          <c:xMode val="edge"/>
          <c:yMode val="edge"/>
          <c:x val="0.32284078744352251"/>
          <c:y val="2.2405257296594001E-2"/>
        </c:manualLayout>
      </c:layout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'Scheda Cliente'!$B$126</c:f>
              <c:strCache>
                <c:ptCount val="1"/>
                <c:pt idx="0">
                  <c:v>€/anno</c:v>
                </c:pt>
              </c:strCache>
            </c:strRef>
          </c:tx>
          <c:spPr>
            <a:solidFill>
              <a:srgbClr val="4F81BD"/>
            </a:solidFill>
            <a:ln w="0">
              <a:noFill/>
              <a:prstDash val="solid"/>
            </a:ln>
          </c:spPr>
          <c:invertIfNegative val="0"/>
          <c:dPt>
            <c:idx val="0"/>
            <c:invertIfNegative val="1"/>
            <c:bubble3D val="0"/>
            <c:spPr>
              <a:solidFill>
                <a:srgbClr val="0063A1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26-4A05-9A75-DB2F74BDB0CC}"/>
              </c:ext>
            </c:extLst>
          </c:dPt>
          <c:dPt>
            <c:idx val="1"/>
            <c:invertIfNegative val="1"/>
            <c:bubble3D val="0"/>
            <c:spPr>
              <a:solidFill>
                <a:srgbClr val="DB2333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26-4A05-9A75-DB2F74BDB0CC}"/>
              </c:ext>
            </c:extLst>
          </c:dPt>
          <c:dPt>
            <c:idx val="2"/>
            <c:invertIfNegative val="1"/>
            <c:bubble3D val="0"/>
            <c:spPr>
              <a:solidFill>
                <a:srgbClr val="FCB43D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26-4A05-9A75-DB2F74BDB0CC}"/>
              </c:ext>
            </c:extLst>
          </c:dPt>
          <c:dLbls>
            <c:dLbl>
              <c:idx val="0"/>
              <c:spPr/>
              <c:txPr>
                <a:bodyPr anchorCtr="1"/>
                <a:lstStyle/>
                <a:p>
                  <a:pPr>
                    <a:defRPr sz="1000" b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F326-4A05-9A75-DB2F74BDB0CC}"/>
                </c:ext>
              </c:extLst>
            </c:dLbl>
            <c:dLbl>
              <c:idx val="1"/>
              <c:spPr/>
              <c:txPr>
                <a:bodyPr anchorCtr="1"/>
                <a:lstStyle/>
                <a:p>
                  <a:pPr>
                    <a:defRPr sz="1000" b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F326-4A05-9A75-DB2F74BDB0CC}"/>
                </c:ext>
              </c:extLst>
            </c:dLbl>
            <c:dLbl>
              <c:idx val="2"/>
              <c:spPr/>
              <c:txPr>
                <a:bodyPr anchorCtr="1"/>
                <a:lstStyle/>
                <a:p>
                  <a:pPr>
                    <a:defRPr sz="1000" b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F326-4A05-9A75-DB2F74BDB0CC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'Scheda Cliente'!$A$127:$A$129</c:f>
              <c:strCache>
                <c:ptCount val="3"/>
                <c:pt idx="0">
                  <c:v>Risparmio in bolletta</c:v>
                </c:pt>
                <c:pt idx="1">
                  <c:v>Rata del finanziamento</c:v>
                </c:pt>
                <c:pt idx="2">
                  <c:v>Saldo netto</c:v>
                </c:pt>
              </c:strCache>
            </c:strRef>
          </c:cat>
          <c:val>
            <c:numRef>
              <c:f>'Scheda Cliente'!$B$127:$B$129</c:f>
              <c:numCache>
                <c:formatCode>#,##0" €";\(#,##0" €)";\-</c:formatCode>
                <c:ptCount val="3"/>
                <c:pt idx="0">
                  <c:v>23253.185185185186</c:v>
                </c:pt>
                <c:pt idx="1">
                  <c:v>-10605.105468506477</c:v>
                </c:pt>
                <c:pt idx="2">
                  <c:v>12648.079716678709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26-4A05-9A75-DB2F74BDB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94857904"/>
        <c:axId val="194860256"/>
      </c:barChart>
      <c:catAx>
        <c:axId val="194857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94860256"/>
        <c:crosses val="autoZero"/>
        <c:auto val="1"/>
        <c:lblAlgn val="ctr"/>
        <c:lblOffset val="100"/>
        <c:noMultiLvlLbl val="0"/>
      </c:catAx>
      <c:valAx>
        <c:axId val="194860256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94857904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'Scheda Cliente'!$B$132</c:f>
              <c:strCache>
                <c:ptCount val="1"/>
                <c:pt idx="0">
                  <c:v>Flusso di cassa cumulato</c:v>
                </c:pt>
              </c:strCache>
            </c:strRef>
          </c:tx>
          <c:spPr>
            <a:solidFill>
              <a:srgbClr val="4F81BD"/>
            </a:solidFill>
            <a:ln w="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'Scheda Cliente'!$A$133:$A$148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f>'Scheda Cliente'!$B$133:$B$148</c:f>
              <c:numCache>
                <c:formatCode>_-* #,##0.00" €"_-;\-* #,##0.00" €"_-;_-* \-??" €"_-;_-@_-</c:formatCode>
                <c:ptCount val="16"/>
                <c:pt idx="0">
                  <c:v>-56379.999999999985</c:v>
                </c:pt>
                <c:pt idx="1">
                  <c:v>-30053.080538451166</c:v>
                </c:pt>
                <c:pt idx="2">
                  <c:v>-13099.066545408821</c:v>
                </c:pt>
                <c:pt idx="3">
                  <c:v>3854.9474476335236</c:v>
                </c:pt>
                <c:pt idx="4">
                  <c:v>20808.961440675866</c:v>
                </c:pt>
                <c:pt idx="5">
                  <c:v>37762.975433718209</c:v>
                </c:pt>
                <c:pt idx="6">
                  <c:v>54716.989426760556</c:v>
                </c:pt>
                <c:pt idx="7">
                  <c:v>71671.003419802902</c:v>
                </c:pt>
                <c:pt idx="8">
                  <c:v>99230.122881351723</c:v>
                </c:pt>
                <c:pt idx="9">
                  <c:v>126789.24234290054</c:v>
                </c:pt>
                <c:pt idx="10">
                  <c:v>154348.36180444938</c:v>
                </c:pt>
                <c:pt idx="11">
                  <c:v>181907.48126599821</c:v>
                </c:pt>
                <c:pt idx="12">
                  <c:v>205160.66645118341</c:v>
                </c:pt>
                <c:pt idx="13">
                  <c:v>228413.85163636861</c:v>
                </c:pt>
                <c:pt idx="14">
                  <c:v>251667.0368215538</c:v>
                </c:pt>
                <c:pt idx="15">
                  <c:v>274920.222006739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C-4A7F-99F8-2BB8346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4861040"/>
        <c:axId val="194863392"/>
      </c:barChart>
      <c:lineChart>
        <c:grouping val="standard"/>
        <c:varyColors val="0"/>
        <c:ser>
          <c:idx val="1"/>
          <c:order val="1"/>
          <c:tx>
            <c:v>C114</c:v>
          </c:tx>
          <c:spPr>
            <a:ln w="28440">
              <a:solidFill>
                <a:srgbClr val="C0504D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'Scheda Cliente'!$A$133:$A$148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f>'Scheda Cliente'!$C$133:$C$148</c:f>
              <c:numCache>
                <c:formatCode>_-* #,##0.00" €"_-;\-* #,##0.00" €"_-;_-* \-??" €"_-;_-@_-</c:formatCode>
                <c:ptCount val="16"/>
                <c:pt idx="0">
                  <c:v>-56379.999999999985</c:v>
                </c:pt>
                <c:pt idx="1">
                  <c:v>-30053.080538451166</c:v>
                </c:pt>
                <c:pt idx="2">
                  <c:v>-13099.066545408821</c:v>
                </c:pt>
                <c:pt idx="3">
                  <c:v>3854.9474476335236</c:v>
                </c:pt>
                <c:pt idx="4">
                  <c:v>20808.961440675866</c:v>
                </c:pt>
                <c:pt idx="5">
                  <c:v>37762.975433718209</c:v>
                </c:pt>
                <c:pt idx="6">
                  <c:v>54716.989426760556</c:v>
                </c:pt>
                <c:pt idx="7">
                  <c:v>71671.003419802902</c:v>
                </c:pt>
                <c:pt idx="8">
                  <c:v>99230.122881351723</c:v>
                </c:pt>
                <c:pt idx="9">
                  <c:v>126789.24234290054</c:v>
                </c:pt>
                <c:pt idx="10">
                  <c:v>154348.36180444938</c:v>
                </c:pt>
                <c:pt idx="11">
                  <c:v>181907.48126599821</c:v>
                </c:pt>
                <c:pt idx="12">
                  <c:v>205160.66645118341</c:v>
                </c:pt>
                <c:pt idx="13">
                  <c:v>228413.85163636861</c:v>
                </c:pt>
                <c:pt idx="14">
                  <c:v>251667.0368215538</c:v>
                </c:pt>
                <c:pt idx="15">
                  <c:v>274920.222006739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3C-4A7F-99F8-2BB8346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861040"/>
        <c:axId val="194863392"/>
      </c:lineChart>
      <c:catAx>
        <c:axId val="194861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prstDash val="solid"/>
          </a:ln>
        </c:spPr>
        <c:txPr>
          <a:bodyPr anchorCtr="1"/>
          <a:lstStyle/>
          <a:p>
            <a:pPr>
              <a:defRPr sz="900" b="0" spc="-1">
                <a:solidFill>
                  <a:srgbClr val="595959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94863392"/>
        <c:crosses val="autoZero"/>
        <c:auto val="1"/>
        <c:lblAlgn val="ctr"/>
        <c:lblOffset val="100"/>
        <c:noMultiLvlLbl val="0"/>
      </c:catAx>
      <c:valAx>
        <c:axId val="19486339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prstDash val="solid"/>
            </a:ln>
          </c:spPr>
        </c:majorGridlines>
        <c:numFmt formatCode="_(\€* #,##0.00_);_(\€* \(#,##0.00\);_(\€* \-??_);_(@_)" sourceLinked="0"/>
        <c:majorTickMark val="none"/>
        <c:minorTickMark val="none"/>
        <c:tickLblPos val="nextTo"/>
        <c:spPr>
          <a:ln w="9360">
            <a:noFill/>
            <a:prstDash val="solid"/>
          </a:ln>
        </c:spPr>
        <c:txPr>
          <a:bodyPr anchorCtr="1"/>
          <a:lstStyle/>
          <a:p>
            <a:pPr>
              <a:defRPr sz="900" b="0" spc="-1">
                <a:solidFill>
                  <a:srgbClr val="595959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94861040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00000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190499</xdr:rowOff>
    </xdr:from>
    <xdr:to>
      <xdr:col>2</xdr:col>
      <xdr:colOff>66675</xdr:colOff>
      <xdr:row>42</xdr:row>
      <xdr:rowOff>200024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3</xdr:col>
      <xdr:colOff>44640</xdr:colOff>
      <xdr:row>63</xdr:row>
      <xdr:rowOff>124200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285480</xdr:colOff>
      <xdr:row>67</xdr:row>
      <xdr:rowOff>131040</xdr:rowOff>
    </xdr:from>
    <xdr:to>
      <xdr:col>8</xdr:col>
      <xdr:colOff>11520</xdr:colOff>
      <xdr:row>81</xdr:row>
      <xdr:rowOff>213840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47520</xdr:colOff>
      <xdr:row>0</xdr:row>
      <xdr:rowOff>123840</xdr:rowOff>
    </xdr:from>
    <xdr:to>
      <xdr:col>0</xdr:col>
      <xdr:colOff>2020320</xdr:colOff>
      <xdr:row>2</xdr:row>
      <xdr:rowOff>142200</xdr:rowOff>
    </xdr:to>
    <xdr:pic>
      <xdr:nvPicPr>
        <xdr:cNvPr id="5" name="/xl/media/image1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254000</xdr:colOff>
      <xdr:row>94</xdr:row>
      <xdr:rowOff>190480</xdr:rowOff>
    </xdr:from>
    <xdr:to>
      <xdr:col>8</xdr:col>
      <xdr:colOff>79375</xdr:colOff>
      <xdr:row>105</xdr:row>
      <xdr:rowOff>26193</xdr:rowOff>
    </xdr:to>
    <xdr:pic>
      <xdr:nvPicPr>
        <xdr:cNvPr id="6" name="/xl/media/image2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showGridLines="0" tabSelected="1" workbookViewId="0">
      <selection activeCell="K12" sqref="K12"/>
    </sheetView>
  </sheetViews>
  <sheetFormatPr defaultRowHeight="15" x14ac:dyDescent="0.25"/>
  <cols>
    <col min="1" max="9" width="14" customWidth="1"/>
  </cols>
  <sheetData>
    <row r="2" spans="2:8" ht="21.95" customHeight="1" x14ac:dyDescent="0.25"/>
    <row r="3" spans="2:8" ht="21.95" customHeight="1" x14ac:dyDescent="0.35">
      <c r="B3" s="110" t="s">
        <v>407</v>
      </c>
      <c r="C3" s="111"/>
      <c r="D3" s="111"/>
      <c r="E3" s="111"/>
      <c r="F3" s="111"/>
      <c r="G3" s="111"/>
      <c r="H3" s="111"/>
    </row>
    <row r="4" spans="2:8" ht="21.95" customHeight="1" x14ac:dyDescent="0.25"/>
    <row r="5" spans="2:8" ht="21.95" customHeight="1" x14ac:dyDescent="0.3">
      <c r="B5" s="112" t="s">
        <v>0</v>
      </c>
      <c r="C5" s="111"/>
      <c r="D5" s="111"/>
      <c r="E5" s="111"/>
      <c r="F5" s="111"/>
      <c r="G5" s="111"/>
      <c r="H5" s="111"/>
    </row>
    <row r="6" spans="2:8" ht="21.95" customHeight="1" x14ac:dyDescent="0.25"/>
    <row r="7" spans="2:8" ht="27.95" customHeight="1" x14ac:dyDescent="0.25">
      <c r="B7" s="114" t="s">
        <v>406</v>
      </c>
      <c r="C7" s="115"/>
      <c r="D7" s="115"/>
      <c r="E7" s="115"/>
      <c r="F7" s="115"/>
      <c r="G7" s="115"/>
      <c r="H7" s="116"/>
    </row>
    <row r="8" spans="2:8" ht="27.95" customHeight="1" x14ac:dyDescent="0.25">
      <c r="B8" s="117"/>
      <c r="C8" s="118"/>
      <c r="D8" s="118"/>
      <c r="E8" s="118"/>
      <c r="F8" s="118"/>
      <c r="G8" s="118"/>
      <c r="H8" s="119"/>
    </row>
    <row r="9" spans="2:8" ht="27.95" customHeight="1" x14ac:dyDescent="0.25">
      <c r="B9" s="117"/>
      <c r="C9" s="118"/>
      <c r="D9" s="118"/>
      <c r="E9" s="118"/>
      <c r="F9" s="118"/>
      <c r="G9" s="118"/>
      <c r="H9" s="119"/>
    </row>
    <row r="10" spans="2:8" ht="27.95" customHeight="1" x14ac:dyDescent="0.25">
      <c r="B10" s="117"/>
      <c r="C10" s="118"/>
      <c r="D10" s="118"/>
      <c r="E10" s="118"/>
      <c r="F10" s="118"/>
      <c r="G10" s="118"/>
      <c r="H10" s="119"/>
    </row>
    <row r="11" spans="2:8" ht="27.95" customHeight="1" x14ac:dyDescent="0.25">
      <c r="B11" s="117"/>
      <c r="C11" s="118"/>
      <c r="D11" s="118"/>
      <c r="E11" s="118"/>
      <c r="F11" s="118"/>
      <c r="G11" s="118"/>
      <c r="H11" s="119"/>
    </row>
    <row r="12" spans="2:8" ht="27.95" customHeight="1" x14ac:dyDescent="0.25">
      <c r="B12" s="117"/>
      <c r="C12" s="118"/>
      <c r="D12" s="118"/>
      <c r="E12" s="118"/>
      <c r="F12" s="118"/>
      <c r="G12" s="118"/>
      <c r="H12" s="119"/>
    </row>
    <row r="13" spans="2:8" ht="27.95" customHeight="1" x14ac:dyDescent="0.25">
      <c r="B13" s="117"/>
      <c r="C13" s="118"/>
      <c r="D13" s="118"/>
      <c r="E13" s="118"/>
      <c r="F13" s="118"/>
      <c r="G13" s="118"/>
      <c r="H13" s="119"/>
    </row>
    <row r="14" spans="2:8" ht="27.95" customHeight="1" x14ac:dyDescent="0.25">
      <c r="B14" s="117"/>
      <c r="C14" s="118"/>
      <c r="D14" s="118"/>
      <c r="E14" s="118"/>
      <c r="F14" s="118"/>
      <c r="G14" s="118"/>
      <c r="H14" s="119"/>
    </row>
    <row r="15" spans="2:8" ht="27.95" customHeight="1" x14ac:dyDescent="0.25">
      <c r="B15" s="117"/>
      <c r="C15" s="118"/>
      <c r="D15" s="118"/>
      <c r="E15" s="118"/>
      <c r="F15" s="118"/>
      <c r="G15" s="118"/>
      <c r="H15" s="119"/>
    </row>
    <row r="16" spans="2:8" ht="27.95" customHeight="1" x14ac:dyDescent="0.25">
      <c r="B16" s="117"/>
      <c r="C16" s="118"/>
      <c r="D16" s="118"/>
      <c r="E16" s="118"/>
      <c r="F16" s="118"/>
      <c r="G16" s="118"/>
      <c r="H16" s="119"/>
    </row>
    <row r="17" spans="2:8" ht="21.95" customHeight="1" x14ac:dyDescent="0.25">
      <c r="B17" s="117"/>
      <c r="C17" s="118"/>
      <c r="D17" s="118"/>
      <c r="E17" s="118"/>
      <c r="F17" s="118"/>
      <c r="G17" s="118"/>
      <c r="H17" s="119"/>
    </row>
    <row r="18" spans="2:8" ht="21.95" customHeight="1" x14ac:dyDescent="0.25">
      <c r="B18" s="117"/>
      <c r="C18" s="118"/>
      <c r="D18" s="118"/>
      <c r="E18" s="118"/>
      <c r="F18" s="118"/>
      <c r="G18" s="118"/>
      <c r="H18" s="119"/>
    </row>
    <row r="19" spans="2:8" ht="21.95" customHeight="1" x14ac:dyDescent="0.25">
      <c r="B19" s="117"/>
      <c r="C19" s="118"/>
      <c r="D19" s="118"/>
      <c r="E19" s="118"/>
      <c r="F19" s="118"/>
      <c r="G19" s="118"/>
      <c r="H19" s="119"/>
    </row>
    <row r="20" spans="2:8" x14ac:dyDescent="0.25">
      <c r="B20" s="117"/>
      <c r="C20" s="118"/>
      <c r="D20" s="118"/>
      <c r="E20" s="118"/>
      <c r="F20" s="118"/>
      <c r="G20" s="118"/>
      <c r="H20" s="119"/>
    </row>
    <row r="21" spans="2:8" x14ac:dyDescent="0.25">
      <c r="B21" s="117"/>
      <c r="C21" s="118"/>
      <c r="D21" s="118"/>
      <c r="E21" s="118"/>
      <c r="F21" s="118"/>
      <c r="G21" s="118"/>
      <c r="H21" s="119"/>
    </row>
    <row r="22" spans="2:8" x14ac:dyDescent="0.25">
      <c r="B22" s="117"/>
      <c r="C22" s="118"/>
      <c r="D22" s="118"/>
      <c r="E22" s="118"/>
      <c r="F22" s="118"/>
      <c r="G22" s="118"/>
      <c r="H22" s="119"/>
    </row>
    <row r="23" spans="2:8" x14ac:dyDescent="0.25">
      <c r="B23" s="120"/>
      <c r="C23" s="121"/>
      <c r="D23" s="121"/>
      <c r="E23" s="121"/>
      <c r="F23" s="121"/>
      <c r="G23" s="121"/>
      <c r="H23" s="122"/>
    </row>
    <row r="25" spans="2:8" x14ac:dyDescent="0.25">
      <c r="B25" s="113" t="s">
        <v>1</v>
      </c>
      <c r="C25" s="111"/>
      <c r="D25" s="111"/>
      <c r="E25" s="111"/>
      <c r="F25" s="111"/>
      <c r="G25" s="111"/>
      <c r="H25" s="111"/>
    </row>
  </sheetData>
  <sheetProtection algorithmName="SHA-512" hashValue="3nS7Q7PNvQ0Rus2oAlz66mBRnZYaZHPhc7c+p6frabHUyUbTzkmRFC69cD8bPqst/dLbN1+m17UWft20YuM/aQ==" saltValue="ksi4lQ1de3yJUXogH9ZwcA==" spinCount="100000" sheet="1" objects="1" scenarios="1" selectLockedCells="1"/>
  <mergeCells count="4">
    <mergeCell ref="B3:H3"/>
    <mergeCell ref="B5:H5"/>
    <mergeCell ref="B25:H25"/>
    <mergeCell ref="B7:H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864"/>
  </sheetPr>
  <dimension ref="A1:H95"/>
  <sheetViews>
    <sheetView topLeftCell="A10" workbookViewId="0">
      <selection activeCell="B23" sqref="B23"/>
    </sheetView>
  </sheetViews>
  <sheetFormatPr defaultColWidth="8.7109375" defaultRowHeight="15" x14ac:dyDescent="0.25"/>
  <cols>
    <col min="1" max="1" width="54" customWidth="1"/>
    <col min="2" max="2" width="22" customWidth="1"/>
    <col min="3" max="3" width="8" customWidth="1"/>
    <col min="4" max="4" width="62" customWidth="1"/>
    <col min="5" max="5" width="2" customWidth="1"/>
    <col min="7" max="8" width="2" hidden="1" customWidth="1"/>
  </cols>
  <sheetData>
    <row r="1" spans="1:8" ht="43.5" customHeight="1" x14ac:dyDescent="0.25">
      <c r="A1" s="123" t="s">
        <v>2</v>
      </c>
      <c r="B1" s="111"/>
      <c r="C1" s="111"/>
      <c r="D1" s="111"/>
      <c r="E1" s="111"/>
      <c r="G1" t="s">
        <v>3</v>
      </c>
      <c r="H1" t="s">
        <v>4</v>
      </c>
    </row>
    <row r="2" spans="1:8" ht="15" customHeight="1" x14ac:dyDescent="0.25">
      <c r="A2" s="124" t="s">
        <v>5</v>
      </c>
      <c r="B2" s="111"/>
      <c r="C2" s="111"/>
      <c r="D2" s="111"/>
      <c r="E2" s="111"/>
      <c r="G2" t="s">
        <v>6</v>
      </c>
      <c r="H2" t="s">
        <v>7</v>
      </c>
    </row>
    <row r="3" spans="1:8" x14ac:dyDescent="0.25">
      <c r="A3" s="111"/>
      <c r="B3" s="125"/>
      <c r="C3" s="125"/>
      <c r="D3" s="125"/>
      <c r="E3" s="111"/>
      <c r="G3" t="s">
        <v>8</v>
      </c>
      <c r="H3" t="s">
        <v>9</v>
      </c>
    </row>
    <row r="4" spans="1:8" x14ac:dyDescent="0.25">
      <c r="A4" s="111"/>
      <c r="B4" s="111"/>
      <c r="C4" s="111"/>
      <c r="D4" s="111"/>
      <c r="E4" s="111"/>
      <c r="G4" t="s">
        <v>10</v>
      </c>
      <c r="H4" t="s">
        <v>9</v>
      </c>
    </row>
    <row r="5" spans="1:8" x14ac:dyDescent="0.25">
      <c r="A5" s="38"/>
      <c r="B5" s="38"/>
      <c r="C5" s="38"/>
      <c r="D5" s="38"/>
      <c r="E5" s="38"/>
      <c r="G5" t="s">
        <v>11</v>
      </c>
      <c r="H5" t="s">
        <v>7</v>
      </c>
    </row>
    <row r="6" spans="1:8" ht="19.5" customHeight="1" x14ac:dyDescent="0.25">
      <c r="A6" s="39" t="s">
        <v>12</v>
      </c>
      <c r="B6" s="39"/>
      <c r="C6" s="39"/>
      <c r="D6" s="39"/>
      <c r="E6" s="39"/>
      <c r="G6" t="s">
        <v>13</v>
      </c>
      <c r="H6" t="s">
        <v>9</v>
      </c>
    </row>
    <row r="7" spans="1:8" x14ac:dyDescent="0.25">
      <c r="A7" s="26" t="s">
        <v>14</v>
      </c>
      <c r="B7" s="51" t="s">
        <v>15</v>
      </c>
      <c r="C7" s="40"/>
      <c r="D7" s="38"/>
      <c r="E7" s="38"/>
      <c r="G7" t="s">
        <v>16</v>
      </c>
      <c r="H7" t="s">
        <v>7</v>
      </c>
    </row>
    <row r="8" spans="1:8" x14ac:dyDescent="0.25">
      <c r="A8" s="26" t="s">
        <v>17</v>
      </c>
      <c r="B8" s="51" t="s">
        <v>18</v>
      </c>
      <c r="C8" s="40"/>
      <c r="D8" s="38"/>
      <c r="E8" s="38"/>
      <c r="G8" t="s">
        <v>19</v>
      </c>
      <c r="H8" t="s">
        <v>9</v>
      </c>
    </row>
    <row r="9" spans="1:8" ht="36" customHeight="1" x14ac:dyDescent="0.25">
      <c r="A9" s="26" t="s">
        <v>20</v>
      </c>
      <c r="B9" s="52" t="str">
        <f>IFERROR(INDEX($H$2:$H$95,MATCH($B$8,$G$2:$G$95,0)),"")</f>
        <v>No</v>
      </c>
      <c r="C9" s="40"/>
      <c r="D9" s="34" t="s">
        <v>21</v>
      </c>
      <c r="E9" s="38"/>
      <c r="G9" t="s">
        <v>22</v>
      </c>
      <c r="H9" t="s">
        <v>9</v>
      </c>
    </row>
    <row r="10" spans="1:8" ht="24" customHeight="1" x14ac:dyDescent="0.25">
      <c r="A10" s="26" t="s">
        <v>23</v>
      </c>
      <c r="B10" s="51" t="s">
        <v>24</v>
      </c>
      <c r="C10" s="40"/>
      <c r="D10" s="34" t="s">
        <v>25</v>
      </c>
      <c r="E10" s="38"/>
      <c r="G10" t="s">
        <v>26</v>
      </c>
      <c r="H10" t="s">
        <v>7</v>
      </c>
    </row>
    <row r="11" spans="1:8" x14ac:dyDescent="0.25">
      <c r="A11" s="26" t="s">
        <v>27</v>
      </c>
      <c r="B11" s="53" t="str">
        <f>IFERROR(INDEX(Parametri!$A$7:$H$11,MATCH($B$10,Parametri!$A$7:$A$11,0),8),"-")</f>
        <v>PMI — 8.925.000 €</v>
      </c>
      <c r="C11" s="40"/>
      <c r="D11" s="38"/>
      <c r="E11" s="38"/>
      <c r="G11" t="s">
        <v>28</v>
      </c>
      <c r="H11" t="s">
        <v>9</v>
      </c>
    </row>
    <row r="12" spans="1:8" x14ac:dyDescent="0.25">
      <c r="A12" s="38"/>
      <c r="B12" s="38"/>
      <c r="C12" s="38"/>
      <c r="D12" s="38"/>
      <c r="E12" s="38"/>
      <c r="G12" t="s">
        <v>29</v>
      </c>
      <c r="H12" t="s">
        <v>9</v>
      </c>
    </row>
    <row r="13" spans="1:8" ht="19.5" customHeight="1" x14ac:dyDescent="0.25">
      <c r="A13" s="39" t="s">
        <v>30</v>
      </c>
      <c r="B13" s="39"/>
      <c r="C13" s="39"/>
      <c r="D13" s="39"/>
      <c r="E13" s="39"/>
      <c r="G13" t="s">
        <v>31</v>
      </c>
      <c r="H13" t="s">
        <v>7</v>
      </c>
    </row>
    <row r="14" spans="1:8" ht="24" customHeight="1" x14ac:dyDescent="0.25">
      <c r="A14" s="26" t="s">
        <v>32</v>
      </c>
      <c r="B14" s="54">
        <v>2025</v>
      </c>
      <c r="C14" s="40"/>
      <c r="D14" s="34" t="s">
        <v>33</v>
      </c>
      <c r="E14" s="38"/>
      <c r="G14" t="s">
        <v>34</v>
      </c>
      <c r="H14" t="s">
        <v>9</v>
      </c>
    </row>
    <row r="15" spans="1:8" x14ac:dyDescent="0.25">
      <c r="A15" s="26" t="s">
        <v>35</v>
      </c>
      <c r="B15" s="55">
        <v>140714</v>
      </c>
      <c r="C15" s="40" t="s">
        <v>36</v>
      </c>
      <c r="D15" s="38"/>
      <c r="E15" s="38"/>
      <c r="G15" t="s">
        <v>37</v>
      </c>
      <c r="H15" t="s">
        <v>9</v>
      </c>
    </row>
    <row r="16" spans="1:8" x14ac:dyDescent="0.25">
      <c r="A16" s="26" t="s">
        <v>38</v>
      </c>
      <c r="B16" s="55">
        <v>49005</v>
      </c>
      <c r="C16" s="40" t="s">
        <v>36</v>
      </c>
      <c r="D16" s="38"/>
      <c r="E16" s="38"/>
      <c r="G16" t="s">
        <v>39</v>
      </c>
      <c r="H16" t="s">
        <v>7</v>
      </c>
    </row>
    <row r="17" spans="1:8" x14ac:dyDescent="0.25">
      <c r="A17" s="26" t="s">
        <v>40</v>
      </c>
      <c r="B17" s="55">
        <v>28623</v>
      </c>
      <c r="C17" s="40" t="s">
        <v>36</v>
      </c>
      <c r="D17" s="38"/>
      <c r="E17" s="38"/>
      <c r="G17" t="s">
        <v>41</v>
      </c>
      <c r="H17" t="s">
        <v>7</v>
      </c>
    </row>
    <row r="18" spans="1:8" x14ac:dyDescent="0.25">
      <c r="A18" s="47" t="s">
        <v>42</v>
      </c>
      <c r="B18" s="55">
        <v>200</v>
      </c>
      <c r="C18" s="48" t="s">
        <v>43</v>
      </c>
      <c r="D18" s="38"/>
      <c r="E18" s="38"/>
    </row>
    <row r="19" spans="1:8" x14ac:dyDescent="0.25">
      <c r="A19" s="44" t="s">
        <v>44</v>
      </c>
      <c r="B19" s="56">
        <v>0.22</v>
      </c>
      <c r="C19" s="40" t="s">
        <v>45</v>
      </c>
      <c r="D19" s="38"/>
      <c r="E19" s="38"/>
      <c r="G19" t="s">
        <v>46</v>
      </c>
      <c r="H19" t="s">
        <v>9</v>
      </c>
    </row>
    <row r="20" spans="1:8" ht="19.5" customHeight="1" x14ac:dyDescent="0.25">
      <c r="A20" s="39" t="s">
        <v>47</v>
      </c>
      <c r="B20" s="39"/>
      <c r="C20" s="39"/>
      <c r="D20" s="39"/>
      <c r="E20" s="39"/>
      <c r="G20" t="s">
        <v>48</v>
      </c>
      <c r="H20" t="s">
        <v>9</v>
      </c>
    </row>
    <row r="21" spans="1:8" x14ac:dyDescent="0.25">
      <c r="A21" s="26" t="s">
        <v>49</v>
      </c>
      <c r="B21" s="57">
        <f>IFERROR($B$15*(1+Parametri!$B$25)/Parametri!$B$24,0)</f>
        <v>135.08543999999998</v>
      </c>
      <c r="C21" s="40" t="s">
        <v>50</v>
      </c>
      <c r="D21" s="34" t="s">
        <v>51</v>
      </c>
      <c r="E21" s="38"/>
      <c r="G21" t="s">
        <v>52</v>
      </c>
      <c r="H21" t="s">
        <v>9</v>
      </c>
    </row>
    <row r="22" spans="1:8" ht="24" customHeight="1" x14ac:dyDescent="0.25">
      <c r="A22" s="26" t="s">
        <v>53</v>
      </c>
      <c r="B22" s="54"/>
      <c r="C22" s="40" t="s">
        <v>50</v>
      </c>
      <c r="D22" s="34" t="s">
        <v>54</v>
      </c>
      <c r="E22" s="38"/>
      <c r="G22" t="s">
        <v>55</v>
      </c>
      <c r="H22" t="s">
        <v>7</v>
      </c>
    </row>
    <row r="23" spans="1:8" x14ac:dyDescent="0.25">
      <c r="A23" s="26" t="s">
        <v>56</v>
      </c>
      <c r="B23" s="54">
        <v>108</v>
      </c>
      <c r="C23" s="40" t="s">
        <v>50</v>
      </c>
      <c r="D23" s="38"/>
      <c r="E23" s="38"/>
      <c r="G23" t="s">
        <v>57</v>
      </c>
      <c r="H23" t="s">
        <v>7</v>
      </c>
    </row>
    <row r="24" spans="1:8" x14ac:dyDescent="0.25">
      <c r="A24" s="26" t="s">
        <v>58</v>
      </c>
      <c r="B24" s="53" t="str">
        <f>IF($B$23&lt;=0,"Solo accumulo",IF($B$23&lt;=$B$21,"OK — entro il massimale","ECCEDE il massimale di "&amp;TEXT($B$23-$B$21,"#,##0.0")&amp;" kWp"))</f>
        <v>OK — entro il massimale</v>
      </c>
      <c r="C24" s="40"/>
      <c r="D24" s="38"/>
      <c r="E24" s="38"/>
      <c r="G24" t="s">
        <v>59</v>
      </c>
      <c r="H24" t="s">
        <v>9</v>
      </c>
    </row>
    <row r="25" spans="1:8" x14ac:dyDescent="0.25">
      <c r="A25" s="26" t="s">
        <v>60</v>
      </c>
      <c r="B25" s="58">
        <f>2*($B$23+$B$22)</f>
        <v>216</v>
      </c>
      <c r="C25" s="40" t="s">
        <v>36</v>
      </c>
      <c r="D25" s="38"/>
      <c r="E25" s="38"/>
      <c r="G25" t="s">
        <v>61</v>
      </c>
      <c r="H25" t="s">
        <v>9</v>
      </c>
    </row>
    <row r="26" spans="1:8" x14ac:dyDescent="0.25">
      <c r="A26" s="26" t="s">
        <v>62</v>
      </c>
      <c r="B26" s="58">
        <f>($B$16+$B$17)*(1+Parametri!$B$25)/365</f>
        <v>255.21534246575339</v>
      </c>
      <c r="C26" s="40" t="s">
        <v>36</v>
      </c>
      <c r="D26" s="38"/>
      <c r="E26" s="38"/>
      <c r="G26" t="s">
        <v>63</v>
      </c>
      <c r="H26" t="s">
        <v>9</v>
      </c>
    </row>
    <row r="27" spans="1:8" ht="24" customHeight="1" x14ac:dyDescent="0.25">
      <c r="A27" s="26" t="s">
        <v>64</v>
      </c>
      <c r="B27" s="58">
        <f>MIN($B$25,$B$26)</f>
        <v>216</v>
      </c>
      <c r="C27" s="40" t="s">
        <v>36</v>
      </c>
      <c r="D27" s="34" t="s">
        <v>65</v>
      </c>
      <c r="E27" s="38"/>
      <c r="G27" t="s">
        <v>66</v>
      </c>
      <c r="H27" t="s">
        <v>7</v>
      </c>
    </row>
    <row r="28" spans="1:8" x14ac:dyDescent="0.25">
      <c r="A28" s="26" t="s">
        <v>67</v>
      </c>
      <c r="B28" s="59">
        <v>100</v>
      </c>
      <c r="C28" s="40" t="s">
        <v>36</v>
      </c>
      <c r="D28" s="38"/>
      <c r="E28" s="38"/>
      <c r="G28" t="s">
        <v>68</v>
      </c>
      <c r="H28" t="s">
        <v>7</v>
      </c>
    </row>
    <row r="29" spans="1:8" x14ac:dyDescent="0.25">
      <c r="A29" s="26" t="s">
        <v>69</v>
      </c>
      <c r="B29" s="53" t="str">
        <f>IF($B$28&lt;=0,"Nessun accumulo",IF($B$28&lt;=$B$27,"OK — entro il massimale","ECCEDE il massimale di "&amp;TEXT($B$28-$B$27,"#,##0.0")&amp;" kWh"))</f>
        <v>OK — entro il massimale</v>
      </c>
      <c r="C29" s="40"/>
      <c r="D29" s="38"/>
      <c r="E29" s="38"/>
      <c r="G29" t="s">
        <v>70</v>
      </c>
      <c r="H29" t="s">
        <v>9</v>
      </c>
    </row>
    <row r="30" spans="1:8" x14ac:dyDescent="0.25">
      <c r="A30" s="38"/>
      <c r="B30" s="38"/>
      <c r="C30" s="38"/>
      <c r="D30" s="38"/>
      <c r="E30" s="38"/>
      <c r="G30" t="s">
        <v>71</v>
      </c>
      <c r="H30" t="s">
        <v>7</v>
      </c>
    </row>
    <row r="31" spans="1:8" ht="19.5" customHeight="1" x14ac:dyDescent="0.25">
      <c r="A31" s="39" t="s">
        <v>72</v>
      </c>
      <c r="B31" s="39"/>
      <c r="C31" s="39"/>
      <c r="D31" s="39"/>
      <c r="E31" s="39"/>
      <c r="G31" t="s">
        <v>73</v>
      </c>
      <c r="H31" t="s">
        <v>7</v>
      </c>
    </row>
    <row r="32" spans="1:8" x14ac:dyDescent="0.25">
      <c r="A32" s="26" t="s">
        <v>74</v>
      </c>
      <c r="B32" s="60">
        <f>IF($B$23&lt;=0,0,IF($B$23&lt;50,Parametri!$B$18,IF($B$23&lt;=200,Parametri!$B$19,Parametri!$B$20)))</f>
        <v>1200</v>
      </c>
      <c r="C32" s="40" t="s">
        <v>75</v>
      </c>
      <c r="D32" s="38" t="s">
        <v>76</v>
      </c>
      <c r="E32" s="38"/>
      <c r="G32" t="s">
        <v>77</v>
      </c>
      <c r="H32" t="s">
        <v>9</v>
      </c>
    </row>
    <row r="33" spans="1:8" ht="24" customHeight="1" x14ac:dyDescent="0.25">
      <c r="A33" s="26" t="s">
        <v>78</v>
      </c>
      <c r="B33" s="61">
        <v>1200</v>
      </c>
      <c r="C33" s="40" t="s">
        <v>75</v>
      </c>
      <c r="D33" s="34" t="s">
        <v>79</v>
      </c>
      <c r="E33" s="38"/>
      <c r="G33" t="s">
        <v>80</v>
      </c>
      <c r="H33" t="s">
        <v>9</v>
      </c>
    </row>
    <row r="34" spans="1:8" x14ac:dyDescent="0.25">
      <c r="A34" s="26" t="s">
        <v>81</v>
      </c>
      <c r="B34" s="62">
        <f>IFERROR(($B$32-MIN($B$33,$B$32))/$B$32,0)</f>
        <v>0</v>
      </c>
      <c r="C34" s="40"/>
      <c r="D34" s="34" t="s">
        <v>82</v>
      </c>
      <c r="E34" s="38"/>
      <c r="G34" t="s">
        <v>83</v>
      </c>
      <c r="H34" t="s">
        <v>9</v>
      </c>
    </row>
    <row r="35" spans="1:8" x14ac:dyDescent="0.25">
      <c r="A35" s="26" t="s">
        <v>84</v>
      </c>
      <c r="B35" s="63">
        <f>IF($B$28&lt;=0,0,IF($B$28&lt;=20,Parametri!$D$18,IF($B$28&lt;=50,Parametri!$D$19,IF($B$28&lt;=100,Parametri!$D$20,Parametri!$D$21))))</f>
        <v>500</v>
      </c>
      <c r="C35" s="40" t="s">
        <v>85</v>
      </c>
      <c r="D35" s="38"/>
      <c r="E35" s="38"/>
      <c r="G35" t="s">
        <v>86</v>
      </c>
      <c r="H35" t="s">
        <v>9</v>
      </c>
    </row>
    <row r="36" spans="1:8" x14ac:dyDescent="0.25">
      <c r="A36" s="26" t="s">
        <v>87</v>
      </c>
      <c r="B36" s="61">
        <v>500</v>
      </c>
      <c r="C36" s="40" t="s">
        <v>85</v>
      </c>
      <c r="D36" s="38"/>
      <c r="E36" s="38"/>
      <c r="G36" t="s">
        <v>88</v>
      </c>
      <c r="H36" t="s">
        <v>9</v>
      </c>
    </row>
    <row r="37" spans="1:8" x14ac:dyDescent="0.25">
      <c r="A37" s="26" t="s">
        <v>89</v>
      </c>
      <c r="B37" s="64">
        <f>IFERROR(($B$35-MIN($B$36,$B$35))/$B$35,0)</f>
        <v>0</v>
      </c>
      <c r="C37" s="40"/>
      <c r="D37" s="38"/>
      <c r="E37" s="38"/>
      <c r="G37" t="s">
        <v>90</v>
      </c>
      <c r="H37" t="s">
        <v>9</v>
      </c>
    </row>
    <row r="38" spans="1:8" ht="30" customHeight="1" x14ac:dyDescent="0.25">
      <c r="A38" s="26" t="s">
        <v>91</v>
      </c>
      <c r="B38" s="65">
        <f>$B$23*$B$33</f>
        <v>129600</v>
      </c>
      <c r="C38" s="40"/>
      <c r="D38" s="42" t="s">
        <v>92</v>
      </c>
      <c r="E38" s="38"/>
      <c r="G38" t="s">
        <v>93</v>
      </c>
      <c r="H38" t="s">
        <v>7</v>
      </c>
    </row>
    <row r="39" spans="1:8" x14ac:dyDescent="0.25">
      <c r="A39" s="26" t="s">
        <v>94</v>
      </c>
      <c r="B39" s="66">
        <f>$B$28*$B$36</f>
        <v>50000</v>
      </c>
      <c r="C39" s="40"/>
      <c r="D39" s="38"/>
      <c r="E39" s="38"/>
      <c r="G39" t="s">
        <v>95</v>
      </c>
      <c r="H39" t="s">
        <v>9</v>
      </c>
    </row>
    <row r="40" spans="1:8" ht="24" customHeight="1" x14ac:dyDescent="0.25">
      <c r="A40" s="26" t="s">
        <v>96</v>
      </c>
      <c r="B40" s="67">
        <v>8000</v>
      </c>
      <c r="C40" s="40"/>
      <c r="D40" s="34" t="s">
        <v>97</v>
      </c>
      <c r="E40" s="38"/>
      <c r="G40" t="s">
        <v>98</v>
      </c>
      <c r="H40" t="s">
        <v>9</v>
      </c>
    </row>
    <row r="41" spans="1:8" ht="24" customHeight="1" x14ac:dyDescent="0.25">
      <c r="A41" s="26" t="s">
        <v>99</v>
      </c>
      <c r="B41" s="68">
        <f>MIN($B$40,($B$38+$B$39)*Parametri!$B$27,Parametri!$B$28)</f>
        <v>8000</v>
      </c>
      <c r="C41" s="40"/>
      <c r="D41" s="34" t="s">
        <v>100</v>
      </c>
      <c r="E41" s="38"/>
      <c r="G41" t="s">
        <v>18</v>
      </c>
      <c r="H41" t="s">
        <v>7</v>
      </c>
    </row>
    <row r="42" spans="1:8" x14ac:dyDescent="0.25">
      <c r="A42" s="26" t="s">
        <v>101</v>
      </c>
      <c r="B42" s="65">
        <f>IFERROR(MIN($B$38+$B$41*$B$38/($B$38+$B$39),$B$23*$B$32),0)+IFERROR(MIN($B$39+$B$41*$B$39/($B$38+$B$39),$B$28*$B$35),0)</f>
        <v>179600</v>
      </c>
      <c r="C42" s="40"/>
      <c r="D42" s="69" t="str">
        <f>IF($B$23+$B$28&lt;=0,"","Tetto complessivo art. 6: "&amp;TEXT($B$23*$B$32+$B$28*$B$35,"#,##0")&amp;" € — comprensivo di progettazione")</f>
        <v>Tetto complessivo art. 6: 179600,0 € — comprensivo di progettazione</v>
      </c>
      <c r="E42" s="38"/>
      <c r="G42" t="s">
        <v>102</v>
      </c>
      <c r="H42" t="s">
        <v>9</v>
      </c>
    </row>
    <row r="43" spans="1:8" x14ac:dyDescent="0.25">
      <c r="A43" s="26" t="s">
        <v>103</v>
      </c>
      <c r="B43" s="65">
        <f>IFERROR(INDEX(Parametri!$A$7:$H$11,MATCH($B$10,Parametri!$A$7:$A$11,0),7),0)</f>
        <v>350000</v>
      </c>
      <c r="C43" s="40"/>
      <c r="D43" s="38"/>
      <c r="E43" s="38"/>
      <c r="G43" t="s">
        <v>104</v>
      </c>
      <c r="H43" t="s">
        <v>7</v>
      </c>
    </row>
    <row r="44" spans="1:8" x14ac:dyDescent="0.25">
      <c r="A44" s="26" t="s">
        <v>105</v>
      </c>
      <c r="B44" s="70">
        <f>MIN($B$42,$B$43)</f>
        <v>179600</v>
      </c>
      <c r="C44" s="40"/>
      <c r="D44" s="38"/>
      <c r="E44" s="38"/>
      <c r="G44" t="s">
        <v>106</v>
      </c>
      <c r="H44" t="s">
        <v>9</v>
      </c>
    </row>
    <row r="45" spans="1:8" ht="24" customHeight="1" x14ac:dyDescent="0.25">
      <c r="A45" s="26" t="s">
        <v>107</v>
      </c>
      <c r="B45" s="64">
        <f>IFERROR($B$44/$B$42,0)</f>
        <v>1</v>
      </c>
      <c r="C45" s="40"/>
      <c r="D45" s="34" t="s">
        <v>108</v>
      </c>
      <c r="E45" s="38"/>
      <c r="G45" t="s">
        <v>109</v>
      </c>
      <c r="H45" t="s">
        <v>9</v>
      </c>
    </row>
    <row r="46" spans="1:8" x14ac:dyDescent="0.25">
      <c r="A46" s="26" t="s">
        <v>110</v>
      </c>
      <c r="B46" s="71" t="str">
        <f>IF($B$44&gt;=Parametri!$B$26,"OK","SOTTO SOGLIA — domanda inammissibile")</f>
        <v>OK</v>
      </c>
      <c r="C46" s="40"/>
      <c r="D46" s="38"/>
      <c r="E46" s="38"/>
      <c r="G46" t="s">
        <v>111</v>
      </c>
      <c r="H46" t="s">
        <v>7</v>
      </c>
    </row>
    <row r="47" spans="1:8" ht="24" customHeight="1" x14ac:dyDescent="0.25">
      <c r="A47" s="26" t="s">
        <v>112</v>
      </c>
      <c r="B47" s="67">
        <v>179600</v>
      </c>
      <c r="C47" s="40"/>
      <c r="D47" s="34" t="s">
        <v>113</v>
      </c>
      <c r="E47" s="38"/>
      <c r="G47" t="s">
        <v>114</v>
      </c>
      <c r="H47" t="s">
        <v>9</v>
      </c>
    </row>
    <row r="48" spans="1:8" x14ac:dyDescent="0.25">
      <c r="A48" s="38"/>
      <c r="B48" s="38"/>
      <c r="C48" s="38"/>
      <c r="D48" s="38"/>
      <c r="E48" s="38"/>
      <c r="G48" t="s">
        <v>115</v>
      </c>
      <c r="H48" t="s">
        <v>7</v>
      </c>
    </row>
    <row r="49" spans="1:8" ht="19.5" customHeight="1" x14ac:dyDescent="0.25">
      <c r="A49" s="39" t="s">
        <v>116</v>
      </c>
      <c r="B49" s="39"/>
      <c r="C49" s="39"/>
      <c r="D49" s="39"/>
      <c r="E49" s="39"/>
      <c r="G49" t="s">
        <v>117</v>
      </c>
      <c r="H49" t="s">
        <v>9</v>
      </c>
    </row>
    <row r="50" spans="1:8" ht="36" customHeight="1" x14ac:dyDescent="0.25">
      <c r="A50" s="26" t="s">
        <v>118</v>
      </c>
      <c r="B50" s="51" t="s">
        <v>9</v>
      </c>
      <c r="C50" s="40"/>
      <c r="D50" s="34" t="s">
        <v>119</v>
      </c>
      <c r="E50" s="38"/>
      <c r="G50" t="s">
        <v>120</v>
      </c>
      <c r="H50" t="s">
        <v>9</v>
      </c>
    </row>
    <row r="51" spans="1:8" x14ac:dyDescent="0.25">
      <c r="A51" s="26" t="s">
        <v>121</v>
      </c>
      <c r="B51" s="62">
        <f>IFERROR(INDEX(Parametri!$A$7:$H$11,MATCH($B$10,Parametri!$A$7:$A$11,0),2),0)+IF($B$50="Si",Parametri!$B$33,0)</f>
        <v>0.70000000000000007</v>
      </c>
      <c r="C51" s="40"/>
      <c r="D51" s="38"/>
      <c r="E51" s="38"/>
      <c r="G51" t="s">
        <v>122</v>
      </c>
      <c r="H51" t="s">
        <v>7</v>
      </c>
    </row>
    <row r="52" spans="1:8" x14ac:dyDescent="0.25">
      <c r="A52" s="26" t="s">
        <v>123</v>
      </c>
      <c r="B52" s="64">
        <f>IFERROR(INDEX(Parametri!$A$7:$H$11,MATCH($B$10,Parametri!$A$7:$A$11,0),3),0)+IF($B$50="Si",Parametri!$B$33,0)</f>
        <v>0.65</v>
      </c>
      <c r="C52" s="40"/>
      <c r="D52" s="38"/>
      <c r="E52" s="38"/>
      <c r="G52" t="s">
        <v>124</v>
      </c>
      <c r="H52" t="s">
        <v>7</v>
      </c>
    </row>
    <row r="53" spans="1:8" ht="24" customHeight="1" x14ac:dyDescent="0.25">
      <c r="A53" s="26" t="s">
        <v>125</v>
      </c>
      <c r="B53" s="65">
        <f>IFERROR(MIN($B$38+$B$41*$B$38/($B$38+$B$39),$B$23*$B$32)*$B$45,0)</f>
        <v>129600</v>
      </c>
      <c r="C53" s="40"/>
      <c r="D53" s="34" t="s">
        <v>126</v>
      </c>
      <c r="E53" s="38"/>
      <c r="G53" t="s">
        <v>127</v>
      </c>
      <c r="H53" t="s">
        <v>9</v>
      </c>
    </row>
    <row r="54" spans="1:8" x14ac:dyDescent="0.25">
      <c r="A54" s="26" t="s">
        <v>128</v>
      </c>
      <c r="B54" s="65">
        <f>$B$44-$B$53</f>
        <v>50000</v>
      </c>
      <c r="C54" s="40"/>
      <c r="D54" s="38"/>
      <c r="E54" s="38"/>
      <c r="G54" t="s">
        <v>129</v>
      </c>
      <c r="H54" t="s">
        <v>7</v>
      </c>
    </row>
    <row r="55" spans="1:8" x14ac:dyDescent="0.25">
      <c r="A55" s="26" t="s">
        <v>130</v>
      </c>
      <c r="B55" s="65">
        <f>$B$53*$B$51</f>
        <v>90720.000000000015</v>
      </c>
      <c r="C55" s="40"/>
      <c r="D55" s="38"/>
      <c r="E55" s="38"/>
      <c r="G55" t="s">
        <v>131</v>
      </c>
      <c r="H55" t="s">
        <v>7</v>
      </c>
    </row>
    <row r="56" spans="1:8" x14ac:dyDescent="0.25">
      <c r="A56" s="26" t="s">
        <v>132</v>
      </c>
      <c r="B56" s="65">
        <f>$B$54*$B$52</f>
        <v>32500</v>
      </c>
      <c r="C56" s="40"/>
      <c r="D56" s="38"/>
      <c r="E56" s="38"/>
      <c r="G56" t="s">
        <v>133</v>
      </c>
      <c r="H56" t="s">
        <v>9</v>
      </c>
    </row>
    <row r="57" spans="1:8" x14ac:dyDescent="0.25">
      <c r="A57" s="26" t="s">
        <v>134</v>
      </c>
      <c r="B57" s="70">
        <f>$B$55+$B$56</f>
        <v>123220.00000000001</v>
      </c>
      <c r="C57" s="40"/>
      <c r="D57" s="38"/>
      <c r="E57" s="38"/>
      <c r="G57" t="s">
        <v>135</v>
      </c>
      <c r="H57" t="s">
        <v>7</v>
      </c>
    </row>
    <row r="58" spans="1:8" ht="24" customHeight="1" x14ac:dyDescent="0.25">
      <c r="A58" s="26" t="s">
        <v>136</v>
      </c>
      <c r="B58" s="65">
        <f>$B$47-$B$57</f>
        <v>56379.999999999985</v>
      </c>
      <c r="C58" s="40"/>
      <c r="D58" s="34" t="s">
        <v>137</v>
      </c>
      <c r="E58" s="38"/>
      <c r="G58" t="s">
        <v>138</v>
      </c>
      <c r="H58" t="s">
        <v>9</v>
      </c>
    </row>
    <row r="59" spans="1:8" x14ac:dyDescent="0.25">
      <c r="A59" s="26" t="s">
        <v>139</v>
      </c>
      <c r="B59" s="64">
        <f>IFERROR(INDEX(Parametri!$A$7:$H$11,MATCH($B$10,Parametri!$A$7:$A$11,0),4),0)</f>
        <v>0.5</v>
      </c>
      <c r="C59" s="40"/>
      <c r="D59" s="38"/>
      <c r="E59" s="38"/>
      <c r="G59" t="s">
        <v>140</v>
      </c>
      <c r="H59" t="s">
        <v>7</v>
      </c>
    </row>
    <row r="60" spans="1:8" ht="24" customHeight="1" x14ac:dyDescent="0.25">
      <c r="A60" s="26" t="s">
        <v>141</v>
      </c>
      <c r="B60" s="70">
        <f>$B$57*$B$59</f>
        <v>61610.000000000007</v>
      </c>
      <c r="C60" s="40"/>
      <c r="D60" s="34" t="s">
        <v>142</v>
      </c>
      <c r="E60" s="38"/>
      <c r="G60" t="s">
        <v>143</v>
      </c>
      <c r="H60" t="s">
        <v>9</v>
      </c>
    </row>
    <row r="61" spans="1:8" x14ac:dyDescent="0.25">
      <c r="A61" s="26" t="s">
        <v>144</v>
      </c>
      <c r="B61" s="65">
        <f>$B$57-$B$60</f>
        <v>61610.000000000007</v>
      </c>
      <c r="C61" s="40"/>
      <c r="D61" s="38"/>
      <c r="E61" s="38"/>
      <c r="G61" t="s">
        <v>145</v>
      </c>
      <c r="H61" t="s">
        <v>7</v>
      </c>
    </row>
    <row r="62" spans="1:8" x14ac:dyDescent="0.25">
      <c r="A62" s="26" t="s">
        <v>146</v>
      </c>
      <c r="B62" s="72">
        <f>IFERROR(-PMT(Parametri!$B$29/2,Parametri!$B$32,$B$61),0)</f>
        <v>5302.5527342532387</v>
      </c>
      <c r="C62" s="40"/>
      <c r="D62" s="38"/>
      <c r="E62" s="38"/>
      <c r="G62" t="s">
        <v>147</v>
      </c>
      <c r="H62" t="s">
        <v>7</v>
      </c>
    </row>
    <row r="63" spans="1:8" ht="24" customHeight="1" x14ac:dyDescent="0.25">
      <c r="A63" s="26" t="s">
        <v>148</v>
      </c>
      <c r="B63" s="72">
        <f>$B$57*Parametri!$B$29</f>
        <v>1232.2000000000003</v>
      </c>
      <c r="C63" s="40"/>
      <c r="D63" s="34" t="s">
        <v>149</v>
      </c>
      <c r="E63" s="38"/>
      <c r="G63" t="s">
        <v>150</v>
      </c>
      <c r="H63" t="s">
        <v>7</v>
      </c>
    </row>
    <row r="64" spans="1:8" x14ac:dyDescent="0.25">
      <c r="A64" s="26" t="s">
        <v>151</v>
      </c>
      <c r="B64" s="72">
        <f>$B$63+($B$62*Parametri!$B$32-$B$61)</f>
        <v>3252.832811038857</v>
      </c>
      <c r="C64" s="40"/>
      <c r="D64" s="38"/>
      <c r="E64" s="38"/>
      <c r="G64" t="s">
        <v>152</v>
      </c>
      <c r="H64" t="s">
        <v>7</v>
      </c>
    </row>
    <row r="65" spans="1:8" x14ac:dyDescent="0.25">
      <c r="A65" s="38"/>
      <c r="B65" s="38"/>
      <c r="C65" s="38"/>
      <c r="D65" s="38"/>
      <c r="E65" s="38"/>
      <c r="G65" t="s">
        <v>153</v>
      </c>
      <c r="H65" t="s">
        <v>7</v>
      </c>
    </row>
    <row r="66" spans="1:8" ht="19.5" customHeight="1" x14ac:dyDescent="0.25">
      <c r="A66" s="39" t="s">
        <v>154</v>
      </c>
      <c r="B66" s="39"/>
      <c r="C66" s="39"/>
      <c r="D66" s="39"/>
      <c r="E66" s="39"/>
      <c r="G66" t="s">
        <v>155</v>
      </c>
      <c r="H66" t="s">
        <v>7</v>
      </c>
    </row>
    <row r="67" spans="1:8" ht="24" customHeight="1" x14ac:dyDescent="0.25">
      <c r="A67" s="26" t="s">
        <v>156</v>
      </c>
      <c r="B67" s="41">
        <v>3.7100000000000001E-2</v>
      </c>
      <c r="C67" s="40"/>
      <c r="D67" s="34" t="s">
        <v>157</v>
      </c>
      <c r="E67" s="38"/>
      <c r="G67" t="s">
        <v>158</v>
      </c>
      <c r="H67" t="s">
        <v>7</v>
      </c>
    </row>
    <row r="68" spans="1:8" ht="24" customHeight="1" x14ac:dyDescent="0.25">
      <c r="A68" s="26" t="s">
        <v>159</v>
      </c>
      <c r="B68" s="65">
        <f>($B$67-Parametri!$B$29)*($B$57*1+$B$61*0.5*6)</f>
        <v>8348.1550000000007</v>
      </c>
      <c r="C68" s="40"/>
      <c r="D68" s="34" t="s">
        <v>160</v>
      </c>
      <c r="E68" s="38"/>
      <c r="G68" t="s">
        <v>161</v>
      </c>
      <c r="H68" t="s">
        <v>7</v>
      </c>
    </row>
    <row r="69" spans="1:8" x14ac:dyDescent="0.25">
      <c r="A69" s="26" t="s">
        <v>162</v>
      </c>
      <c r="B69" s="65">
        <f>$B$60+$B$68</f>
        <v>69958.155000000013</v>
      </c>
      <c r="C69" s="40"/>
      <c r="D69" s="38"/>
      <c r="E69" s="38"/>
      <c r="G69" t="s">
        <v>163</v>
      </c>
      <c r="H69" t="s">
        <v>7</v>
      </c>
    </row>
    <row r="70" spans="1:8" x14ac:dyDescent="0.25">
      <c r="A70" s="26" t="s">
        <v>164</v>
      </c>
      <c r="B70" s="64">
        <f>IFERROR($B$69/$B$44,0)</f>
        <v>0.38952202115812923</v>
      </c>
      <c r="C70" s="40"/>
      <c r="D70" s="38"/>
      <c r="E70" s="38"/>
      <c r="G70" t="s">
        <v>165</v>
      </c>
      <c r="H70" t="s">
        <v>7</v>
      </c>
    </row>
    <row r="71" spans="1:8" ht="25.5" customHeight="1" x14ac:dyDescent="0.25">
      <c r="A71" s="26" t="s">
        <v>166</v>
      </c>
      <c r="B71" s="64">
        <f>IFERROR(($B$53*INDEX(Parametri!$A$7:$H$11,MATCH($B$10,Parametri!$A$7:$A$11,0),5)+$B$54*INDEX(Parametri!$A$7:$H$11,MATCH($B$10,Parametri!$A$7:$A$11,0),6))/$B$44,0)+IF($B$9="Si",Parametri!$B$34,0)</f>
        <v>0.50824053452115814</v>
      </c>
      <c r="C71" s="40"/>
      <c r="D71" s="38"/>
      <c r="E71" s="38"/>
      <c r="G71" t="s">
        <v>167</v>
      </c>
      <c r="H71" t="s">
        <v>7</v>
      </c>
    </row>
    <row r="72" spans="1:8" x14ac:dyDescent="0.25">
      <c r="A72" s="26" t="s">
        <v>168</v>
      </c>
      <c r="B72" s="53" t="str">
        <f>IF($B$70&lt;=$B$71,"OK — margine di "&amp;TEXT($B$71-$B$70,"0.0%"),"SUPERAMENTO — Gepafin ridurrà la % di remissione")</f>
        <v>OK — margine di 12%</v>
      </c>
      <c r="C72" s="40"/>
      <c r="D72" s="38"/>
      <c r="E72" s="38"/>
      <c r="G72" t="s">
        <v>169</v>
      </c>
      <c r="H72" t="s">
        <v>7</v>
      </c>
    </row>
    <row r="73" spans="1:8" x14ac:dyDescent="0.25">
      <c r="A73" s="38"/>
      <c r="B73" s="38"/>
      <c r="C73" s="38"/>
      <c r="D73" s="38"/>
      <c r="E73" s="38"/>
      <c r="G73" t="s">
        <v>170</v>
      </c>
      <c r="H73" t="s">
        <v>7</v>
      </c>
    </row>
    <row r="74" spans="1:8" ht="19.5" customHeight="1" x14ac:dyDescent="0.25">
      <c r="A74" s="39" t="s">
        <v>171</v>
      </c>
      <c r="B74" s="39"/>
      <c r="C74" s="39"/>
      <c r="D74" s="39"/>
      <c r="E74" s="39"/>
      <c r="G74" t="s">
        <v>172</v>
      </c>
      <c r="H74" t="s">
        <v>7</v>
      </c>
    </row>
    <row r="75" spans="1:8" ht="36" customHeight="1" x14ac:dyDescent="0.25">
      <c r="A75" s="26" t="s">
        <v>173</v>
      </c>
      <c r="B75" s="51" t="s">
        <v>9</v>
      </c>
      <c r="C75" s="40"/>
      <c r="D75" s="34" t="s">
        <v>174</v>
      </c>
      <c r="E75" s="38"/>
      <c r="G75" t="s">
        <v>175</v>
      </c>
      <c r="H75" t="s">
        <v>7</v>
      </c>
    </row>
    <row r="76" spans="1:8" x14ac:dyDescent="0.25">
      <c r="A76" s="26" t="s">
        <v>176</v>
      </c>
      <c r="B76" s="68">
        <f>$B$47</f>
        <v>179600</v>
      </c>
      <c r="C76" s="40"/>
      <c r="D76" s="38"/>
      <c r="E76" s="38"/>
      <c r="G76" t="s">
        <v>177</v>
      </c>
      <c r="H76" t="s">
        <v>7</v>
      </c>
    </row>
    <row r="77" spans="1:8" ht="36" customHeight="1" x14ac:dyDescent="0.25">
      <c r="A77" s="26" t="s">
        <v>178</v>
      </c>
      <c r="B77" s="65">
        <f>$B$60+$B$68</f>
        <v>69958.155000000013</v>
      </c>
      <c r="C77" s="40"/>
      <c r="D77" s="34" t="s">
        <v>179</v>
      </c>
      <c r="E77" s="38"/>
      <c r="G77" t="s">
        <v>180</v>
      </c>
      <c r="H77" t="s">
        <v>7</v>
      </c>
    </row>
    <row r="78" spans="1:8" x14ac:dyDescent="0.25">
      <c r="A78" s="26" t="s">
        <v>181</v>
      </c>
      <c r="B78" s="65">
        <f>IF($B$75="Si",MAX($B$76-$B$77,0),0)</f>
        <v>109641.84499999999</v>
      </c>
      <c r="C78" s="40"/>
      <c r="D78" s="38"/>
      <c r="E78" s="38"/>
      <c r="G78" t="s">
        <v>182</v>
      </c>
      <c r="H78" t="s">
        <v>7</v>
      </c>
    </row>
    <row r="79" spans="1:8" ht="24" customHeight="1" x14ac:dyDescent="0.25">
      <c r="A79" s="26" t="s">
        <v>183</v>
      </c>
      <c r="B79" s="66">
        <f>IF($B$78&lt;=2500000,$B$78*Parametri!$B$40,2500000*Parametri!$B$40+($B$78-2500000)*Parametri!$B$41)</f>
        <v>197355.32099999997</v>
      </c>
      <c r="C79" s="40"/>
      <c r="D79" s="34" t="s">
        <v>184</v>
      </c>
      <c r="E79" s="38"/>
      <c r="G79" t="s">
        <v>185</v>
      </c>
      <c r="H79" t="s">
        <v>7</v>
      </c>
    </row>
    <row r="80" spans="1:8" x14ac:dyDescent="0.25">
      <c r="A80" s="26" t="s">
        <v>186</v>
      </c>
      <c r="B80" s="73">
        <v>0.24</v>
      </c>
      <c r="C80" s="40"/>
      <c r="D80" s="38"/>
      <c r="E80" s="38"/>
      <c r="G80" t="s">
        <v>187</v>
      </c>
      <c r="H80" t="s">
        <v>7</v>
      </c>
    </row>
    <row r="81" spans="1:8" ht="24" customHeight="1" x14ac:dyDescent="0.25">
      <c r="A81" s="26" t="s">
        <v>188</v>
      </c>
      <c r="B81" s="74">
        <f>$B$79*$B$80</f>
        <v>47365.277039999994</v>
      </c>
      <c r="C81" s="40"/>
      <c r="D81" s="34" t="s">
        <v>189</v>
      </c>
      <c r="E81" s="38"/>
      <c r="G81" t="s">
        <v>190</v>
      </c>
      <c r="H81" t="s">
        <v>7</v>
      </c>
    </row>
    <row r="82" spans="1:8" x14ac:dyDescent="0.25">
      <c r="A82" s="26" t="s">
        <v>191</v>
      </c>
      <c r="B82" s="75">
        <v>11</v>
      </c>
      <c r="C82" s="40"/>
      <c r="D82" s="34" t="s">
        <v>192</v>
      </c>
      <c r="E82" s="38"/>
      <c r="G82" t="s">
        <v>193</v>
      </c>
      <c r="H82" t="s">
        <v>7</v>
      </c>
    </row>
    <row r="83" spans="1:8" x14ac:dyDescent="0.25">
      <c r="A83" s="26" t="s">
        <v>194</v>
      </c>
      <c r="B83" s="68">
        <f>IFERROR($B$81/$B$82,0)</f>
        <v>4305.9342763636359</v>
      </c>
      <c r="C83" s="40"/>
      <c r="D83" s="38"/>
      <c r="E83" s="38"/>
      <c r="G83" t="s">
        <v>195</v>
      </c>
      <c r="H83" t="s">
        <v>9</v>
      </c>
    </row>
    <row r="84" spans="1:8" x14ac:dyDescent="0.25">
      <c r="A84" s="38"/>
      <c r="B84" s="38"/>
      <c r="C84" s="38"/>
      <c r="D84" s="38"/>
      <c r="E84" s="38"/>
      <c r="G84" t="s">
        <v>196</v>
      </c>
      <c r="H84" t="s">
        <v>7</v>
      </c>
    </row>
    <row r="85" spans="1:8" ht="19.5" customHeight="1" x14ac:dyDescent="0.25">
      <c r="A85" s="39" t="s">
        <v>197</v>
      </c>
      <c r="B85" s="39"/>
      <c r="C85" s="39"/>
      <c r="D85" s="39"/>
      <c r="E85" s="39"/>
      <c r="G85" t="s">
        <v>198</v>
      </c>
      <c r="H85" t="s">
        <v>7</v>
      </c>
    </row>
    <row r="86" spans="1:8" x14ac:dyDescent="0.25">
      <c r="A86" s="27" t="s">
        <v>199</v>
      </c>
      <c r="B86" s="76">
        <f>$B$47</f>
        <v>179600</v>
      </c>
      <c r="C86" s="40"/>
      <c r="D86" s="38"/>
      <c r="E86" s="38"/>
      <c r="G86" t="s">
        <v>200</v>
      </c>
      <c r="H86" t="s">
        <v>7</v>
      </c>
    </row>
    <row r="87" spans="1:8" x14ac:dyDescent="0.25">
      <c r="A87" s="43" t="s">
        <v>201</v>
      </c>
      <c r="B87" s="77">
        <f>B86-B88</f>
        <v>123220.00000000001</v>
      </c>
      <c r="C87" s="40"/>
      <c r="D87" s="38"/>
      <c r="E87" s="38"/>
    </row>
    <row r="88" spans="1:8" x14ac:dyDescent="0.25">
      <c r="A88" s="27" t="s">
        <v>202</v>
      </c>
      <c r="B88" s="78">
        <f>$B$58</f>
        <v>56379.999999999985</v>
      </c>
      <c r="C88" s="40"/>
      <c r="D88" s="38"/>
      <c r="E88" s="38"/>
      <c r="G88" t="s">
        <v>203</v>
      </c>
      <c r="H88" t="s">
        <v>7</v>
      </c>
    </row>
    <row r="89" spans="1:8" ht="25.5" customHeight="1" x14ac:dyDescent="0.25">
      <c r="A89" s="27" t="s">
        <v>204</v>
      </c>
      <c r="B89" s="79">
        <f>$B$60</f>
        <v>61610.000000000007</v>
      </c>
      <c r="C89" s="40"/>
      <c r="D89" s="38"/>
      <c r="E89" s="38"/>
      <c r="G89" t="s">
        <v>205</v>
      </c>
      <c r="H89" t="s">
        <v>7</v>
      </c>
    </row>
    <row r="90" spans="1:8" x14ac:dyDescent="0.25">
      <c r="A90" s="27" t="s">
        <v>206</v>
      </c>
      <c r="B90" s="80">
        <f>$B$81</f>
        <v>47365.277039999994</v>
      </c>
      <c r="C90" s="40"/>
      <c r="D90" s="38"/>
      <c r="E90" s="38"/>
      <c r="G90" t="s">
        <v>207</v>
      </c>
      <c r="H90" t="s">
        <v>7</v>
      </c>
    </row>
    <row r="91" spans="1:8" x14ac:dyDescent="0.25">
      <c r="A91" s="26" t="s">
        <v>208</v>
      </c>
      <c r="B91" s="70">
        <f>$B$89+$B$90</f>
        <v>108975.27704</v>
      </c>
      <c r="C91" s="40"/>
      <c r="D91" s="38"/>
      <c r="E91" s="38"/>
      <c r="G91" t="s">
        <v>209</v>
      </c>
      <c r="H91" t="s">
        <v>9</v>
      </c>
    </row>
    <row r="92" spans="1:8" x14ac:dyDescent="0.25">
      <c r="A92" s="26" t="s">
        <v>210</v>
      </c>
      <c r="B92" s="81">
        <f>IFERROR($B$91/$B$86,0)</f>
        <v>0.60676657594654793</v>
      </c>
      <c r="C92" s="40"/>
      <c r="D92" s="38"/>
      <c r="E92" s="38"/>
      <c r="G92" t="s">
        <v>211</v>
      </c>
      <c r="H92" t="s">
        <v>7</v>
      </c>
    </row>
    <row r="93" spans="1:8" ht="24" customHeight="1" x14ac:dyDescent="0.25">
      <c r="A93" s="26" t="s">
        <v>212</v>
      </c>
      <c r="B93" s="70">
        <f>$B$86-$B$91+$B$64</f>
        <v>73877.555771038853</v>
      </c>
      <c r="C93" s="40"/>
      <c r="D93" s="34" t="s">
        <v>213</v>
      </c>
      <c r="E93" s="38"/>
      <c r="G93" t="s">
        <v>214</v>
      </c>
      <c r="H93" t="s">
        <v>7</v>
      </c>
    </row>
    <row r="94" spans="1:8" hidden="1" x14ac:dyDescent="0.25">
      <c r="A94" s="27" t="s">
        <v>215</v>
      </c>
      <c r="B94" s="82">
        <f>Punteggio!$C$14</f>
        <v>50</v>
      </c>
      <c r="C94" s="40"/>
      <c r="D94" s="38"/>
      <c r="E94" s="38"/>
      <c r="G94" t="s">
        <v>216</v>
      </c>
      <c r="H94" t="s">
        <v>217</v>
      </c>
    </row>
    <row r="95" spans="1:8" hidden="1" x14ac:dyDescent="0.25">
      <c r="A95" s="26" t="s">
        <v>218</v>
      </c>
      <c r="B95" s="83" t="str">
        <f>IF(AND($B$44&gt;=Parametri!$B$26,$B$94&gt;=Parametri!$B$35,$B$70&lt;=$B$71),"PRESENTABILE","DA RIVEDERE — controllare le verifiche sopra")</f>
        <v>PRESENTABILE</v>
      </c>
      <c r="C95" s="40"/>
      <c r="D95" s="38"/>
      <c r="E95" s="38"/>
      <c r="G95" t="s">
        <v>219</v>
      </c>
      <c r="H95" t="s">
        <v>7</v>
      </c>
    </row>
  </sheetData>
  <sheetProtection sheet="1" objects="1" scenarios="1" selectLockedCells="1"/>
  <mergeCells count="2">
    <mergeCell ref="A1:E1"/>
    <mergeCell ref="A2:E4"/>
  </mergeCells>
  <dataValidations count="3">
    <dataValidation type="list" sqref="B9 B50 B75" xr:uid="{00000000-0002-0000-0100-000000000000}">
      <formula1>"Si,No"</formula1>
      <formula2>0</formula2>
    </dataValidation>
    <dataValidation type="list" sqref="B10" xr:uid="{00000000-0002-0000-0100-000001000000}">
      <formula1>"Libero professionista / Lavoratore autonomo,Microimpresa,Piccola impresa,Media impresa,Grande impresa"</formula1>
      <formula2>0</formula2>
    </dataValidation>
    <dataValidation type="list" sqref="B8" xr:uid="{00000000-0002-0000-0100-000002000000}">
      <formula1>$G$2:$G$95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5454"/>
  </sheetPr>
  <dimension ref="A1:I152"/>
  <sheetViews>
    <sheetView showGridLines="0" topLeftCell="A60" zoomScaleNormal="100" workbookViewId="0"/>
  </sheetViews>
  <sheetFormatPr defaultColWidth="8.7109375" defaultRowHeight="15" x14ac:dyDescent="0.25"/>
  <cols>
    <col min="1" max="1" width="52" customWidth="1"/>
    <col min="2" max="2" width="23" customWidth="1"/>
    <col min="3" max="3" width="13.85546875" customWidth="1"/>
    <col min="4" max="4" width="15" customWidth="1"/>
    <col min="5" max="6" width="24.42578125" customWidth="1"/>
    <col min="7" max="8" width="12" customWidth="1"/>
    <col min="9" max="9" width="2" customWidth="1"/>
  </cols>
  <sheetData>
    <row r="1" spans="1:9" ht="18" customHeight="1" x14ac:dyDescent="0.25">
      <c r="A1" s="1"/>
      <c r="B1" s="1"/>
      <c r="C1" s="1"/>
      <c r="D1" s="149" t="s">
        <v>220</v>
      </c>
      <c r="E1" s="111"/>
      <c r="F1" s="111"/>
      <c r="G1" s="111"/>
      <c r="H1" s="111"/>
      <c r="I1" s="1"/>
    </row>
    <row r="2" spans="1:9" ht="18" customHeight="1" x14ac:dyDescent="0.25">
      <c r="A2" s="1"/>
      <c r="B2" s="1"/>
      <c r="C2" s="1"/>
      <c r="D2" s="137" t="s">
        <v>221</v>
      </c>
      <c r="E2" s="111"/>
      <c r="F2" s="111"/>
      <c r="G2" s="111"/>
      <c r="H2" s="111"/>
      <c r="I2" s="1"/>
    </row>
    <row r="3" spans="1:9" ht="18" customHeight="1" x14ac:dyDescent="0.25">
      <c r="A3" s="1"/>
      <c r="B3" s="1"/>
      <c r="C3" s="1"/>
      <c r="D3" s="111"/>
      <c r="E3" s="111"/>
      <c r="F3" s="111"/>
      <c r="G3" s="111"/>
      <c r="H3" s="111"/>
      <c r="I3" s="1"/>
    </row>
    <row r="4" spans="1:9" ht="6" customHeight="1" x14ac:dyDescent="0.25">
      <c r="A4" s="2"/>
      <c r="B4" s="2"/>
      <c r="C4" s="2"/>
      <c r="D4" s="3"/>
      <c r="E4" s="3"/>
      <c r="F4" s="4"/>
      <c r="G4" s="4"/>
      <c r="H4" s="4"/>
      <c r="I4" s="1"/>
    </row>
    <row r="5" spans="1:9" ht="25.5" customHeight="1" x14ac:dyDescent="0.25">
      <c r="A5" s="150" t="str">
        <f>Calcolatore!$B$7</f>
        <v>Rossi SRL</v>
      </c>
      <c r="B5" s="111"/>
      <c r="C5" s="111"/>
      <c r="D5" s="145" t="str">
        <f ca="1">Calcolatore!$B$8&amp;"   ·   "&amp;Calcolatore!$B$10&amp;"   ·   Simulazione del "&amp;TEXT(TODAY(),"gg/mm/aaaa")</f>
        <v>Perugia (PG)   ·   Media impresa   ·   Simulazione del 29/08/2026</v>
      </c>
      <c r="E5" s="111"/>
      <c r="F5" s="111"/>
      <c r="G5" s="111"/>
      <c r="H5" s="11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21" customHeight="1" x14ac:dyDescent="0.25">
      <c r="A7" s="2"/>
      <c r="B7" s="5" t="s">
        <v>222</v>
      </c>
      <c r="C7" s="6"/>
      <c r="D7" s="6"/>
      <c r="E7" s="6"/>
      <c r="F7" s="6"/>
      <c r="G7" s="6"/>
      <c r="H7" s="6"/>
      <c r="I7" s="1"/>
    </row>
    <row r="8" spans="1:9" ht="18.75" customHeight="1" x14ac:dyDescent="0.25">
      <c r="A8" s="131" t="s">
        <v>223</v>
      </c>
      <c r="B8" s="127"/>
      <c r="C8" s="127"/>
      <c r="D8" s="133">
        <f>Calcolatore!$B$23</f>
        <v>108</v>
      </c>
      <c r="E8" s="127"/>
      <c r="F8" s="126" t="s">
        <v>224</v>
      </c>
      <c r="G8" s="127"/>
      <c r="H8" s="127"/>
      <c r="I8" s="1"/>
    </row>
    <row r="9" spans="1:9" ht="18.75" customHeight="1" x14ac:dyDescent="0.25">
      <c r="A9" s="131" t="s">
        <v>225</v>
      </c>
      <c r="B9" s="127"/>
      <c r="C9" s="127"/>
      <c r="D9" s="152">
        <f>Calcolatore!$B$28</f>
        <v>100</v>
      </c>
      <c r="E9" s="127"/>
      <c r="F9" s="126" t="s">
        <v>226</v>
      </c>
      <c r="G9" s="127"/>
      <c r="H9" s="127"/>
      <c r="I9" s="1"/>
    </row>
    <row r="10" spans="1:9" ht="18.75" customHeight="1" x14ac:dyDescent="0.25">
      <c r="A10" s="131" t="s">
        <v>227</v>
      </c>
      <c r="B10" s="127"/>
      <c r="C10" s="127"/>
      <c r="D10" s="133">
        <f>Calcolatore!$B$22</f>
        <v>0</v>
      </c>
      <c r="E10" s="127"/>
      <c r="F10" s="126"/>
      <c r="G10" s="127"/>
      <c r="H10" s="127"/>
      <c r="I10" s="1"/>
    </row>
    <row r="11" spans="1:9" ht="24.75" customHeight="1" x14ac:dyDescent="0.25">
      <c r="A11" s="128" t="s">
        <v>228</v>
      </c>
      <c r="B11" s="127"/>
      <c r="C11" s="127"/>
      <c r="D11" s="130">
        <f>Calcolatore!$B$47</f>
        <v>179600</v>
      </c>
      <c r="E11" s="127"/>
      <c r="F11" s="126"/>
      <c r="G11" s="127"/>
      <c r="H11" s="127"/>
      <c r="I11" s="1"/>
    </row>
    <row r="12" spans="1:9" ht="18.75" customHeight="1" x14ac:dyDescent="0.25">
      <c r="A12" s="131" t="s">
        <v>229</v>
      </c>
      <c r="B12" s="127"/>
      <c r="C12" s="127"/>
      <c r="D12" s="132">
        <f>Calcolatore!$B$44</f>
        <v>179600</v>
      </c>
      <c r="E12" s="127"/>
      <c r="F12" s="126" t="s">
        <v>230</v>
      </c>
      <c r="G12" s="127"/>
      <c r="H12" s="127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21" customHeight="1" x14ac:dyDescent="0.25">
      <c r="A14" s="3"/>
      <c r="B14" s="5" t="s">
        <v>231</v>
      </c>
      <c r="C14" s="6"/>
      <c r="D14" s="6"/>
      <c r="E14" s="6"/>
      <c r="F14" s="6"/>
      <c r="G14" s="6"/>
      <c r="H14" s="6"/>
      <c r="I14" s="1"/>
    </row>
    <row r="15" spans="1:9" ht="24.75" customHeight="1" x14ac:dyDescent="0.25">
      <c r="A15" s="128" t="s">
        <v>232</v>
      </c>
      <c r="B15" s="127"/>
      <c r="C15" s="127"/>
      <c r="D15" s="130">
        <f>Calcolatore!$B$57</f>
        <v>123220.00000000001</v>
      </c>
      <c r="E15" s="127"/>
      <c r="F15" s="126" t="s">
        <v>233</v>
      </c>
      <c r="G15" s="127"/>
      <c r="H15" s="127"/>
      <c r="I15" s="1"/>
    </row>
    <row r="16" spans="1:9" ht="24.75" customHeight="1" x14ac:dyDescent="0.25">
      <c r="A16" s="128" t="s">
        <v>234</v>
      </c>
      <c r="B16" s="127"/>
      <c r="C16" s="127"/>
      <c r="D16" s="130">
        <f>Calcolatore!$B$58</f>
        <v>56379.999999999985</v>
      </c>
      <c r="E16" s="127"/>
      <c r="F16" s="126" t="s">
        <v>235</v>
      </c>
      <c r="G16" s="127"/>
      <c r="H16" s="127"/>
      <c r="I16" s="1"/>
    </row>
    <row r="17" spans="1:9" ht="24.75" customHeight="1" x14ac:dyDescent="0.25">
      <c r="A17" s="143" t="s">
        <v>236</v>
      </c>
      <c r="B17" s="127"/>
      <c r="C17" s="127"/>
      <c r="D17" s="129">
        <f>Calcolatore!$B$60</f>
        <v>61610.000000000007</v>
      </c>
      <c r="E17" s="127"/>
      <c r="F17" s="139" t="s">
        <v>237</v>
      </c>
      <c r="G17" s="127"/>
      <c r="H17" s="127"/>
      <c r="I17" s="1"/>
    </row>
    <row r="18" spans="1:9" ht="18.75" customHeight="1" x14ac:dyDescent="0.25">
      <c r="A18" s="131" t="s">
        <v>144</v>
      </c>
      <c r="B18" s="127"/>
      <c r="C18" s="127"/>
      <c r="D18" s="132">
        <f>Calcolatore!$B$61</f>
        <v>61610.000000000007</v>
      </c>
      <c r="E18" s="127"/>
      <c r="F18" s="126"/>
      <c r="G18" s="127"/>
      <c r="H18" s="127"/>
      <c r="I18" s="1"/>
    </row>
    <row r="19" spans="1:9" ht="18.75" customHeight="1" x14ac:dyDescent="0.25">
      <c r="A19" s="131" t="s">
        <v>238</v>
      </c>
      <c r="B19" s="127"/>
      <c r="C19" s="127"/>
      <c r="D19" s="157">
        <f>Calcolatore!$B$62</f>
        <v>5302.5527342532387</v>
      </c>
      <c r="E19" s="127"/>
      <c r="F19" s="126" t="s">
        <v>239</v>
      </c>
      <c r="G19" s="127"/>
      <c r="H19" s="127"/>
      <c r="I19" s="1"/>
    </row>
    <row r="20" spans="1:9" ht="18.75" customHeight="1" x14ac:dyDescent="0.25">
      <c r="A20" s="131" t="s">
        <v>240</v>
      </c>
      <c r="B20" s="127"/>
      <c r="C20" s="127"/>
      <c r="D20" s="157">
        <f>Calcolatore!$B$64</f>
        <v>3252.832811038857</v>
      </c>
      <c r="E20" s="127"/>
      <c r="F20" s="126"/>
      <c r="G20" s="127"/>
      <c r="H20" s="127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21" customHeight="1" x14ac:dyDescent="0.25">
      <c r="A22" s="4"/>
      <c r="B22" s="5" t="s">
        <v>241</v>
      </c>
      <c r="C22" s="6"/>
      <c r="D22" s="6"/>
      <c r="E22" s="6"/>
      <c r="F22" s="6"/>
      <c r="G22" s="6"/>
      <c r="H22" s="6"/>
      <c r="I22" s="1"/>
    </row>
    <row r="23" spans="1:9" ht="18.75" customHeight="1" x14ac:dyDescent="0.25">
      <c r="A23" s="131" t="s">
        <v>183</v>
      </c>
      <c r="B23" s="127"/>
      <c r="C23" s="127"/>
      <c r="D23" s="132">
        <f>Calcolatore!$B$79</f>
        <v>197355.32099999997</v>
      </c>
      <c r="E23" s="127"/>
      <c r="F23" s="126" t="s">
        <v>242</v>
      </c>
      <c r="G23" s="127"/>
      <c r="H23" s="127"/>
      <c r="I23" s="1"/>
    </row>
    <row r="24" spans="1:9" ht="24.75" customHeight="1" x14ac:dyDescent="0.25">
      <c r="A24" s="143" t="s">
        <v>243</v>
      </c>
      <c r="B24" s="127"/>
      <c r="C24" s="127"/>
      <c r="D24" s="129">
        <f>Calcolatore!$B$81</f>
        <v>47365.277039999994</v>
      </c>
      <c r="E24" s="127"/>
      <c r="F24" s="139"/>
      <c r="G24" s="127"/>
      <c r="H24" s="127"/>
      <c r="I24" s="1"/>
    </row>
    <row r="25" spans="1:9" ht="18.75" customHeight="1" x14ac:dyDescent="0.25">
      <c r="A25" s="131" t="s">
        <v>194</v>
      </c>
      <c r="B25" s="127"/>
      <c r="C25" s="127"/>
      <c r="D25" s="132">
        <f>IF(Calcolatore!$B$75="Si",Calcolatore!$B$83,0)</f>
        <v>4305.9342763636359</v>
      </c>
      <c r="E25" s="127"/>
      <c r="F25" s="126" t="s">
        <v>244</v>
      </c>
      <c r="G25" s="127"/>
      <c r="H25" s="127"/>
      <c r="I25" s="1"/>
    </row>
    <row r="26" spans="1:9" ht="19.5" customHeight="1" x14ac:dyDescent="0.25">
      <c r="A26" s="156" t="str">
        <f>IF(Calcolatore!$B$75="Si","Il beneficio è calcolato sul costo al netto del contributo regionale e richiede capienza fiscale. Non produce effetti ai fini IRAP. Da confermare con il vostro consulente fiscale.","Iperammortamento non applicato in questa simulazione.")</f>
        <v>Il beneficio è calcolato sul costo al netto del contributo regionale e richiede capienza fiscale. Non produce effetti ai fini IRAP. Da confermare con il vostro consulente fiscale.</v>
      </c>
      <c r="B26" s="111"/>
      <c r="C26" s="111"/>
      <c r="D26" s="111"/>
      <c r="E26" s="111"/>
      <c r="F26" s="111"/>
      <c r="G26" s="111"/>
      <c r="H26" s="11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21" customHeight="1" x14ac:dyDescent="0.25">
      <c r="A28" s="2"/>
      <c r="B28" s="5" t="s">
        <v>245</v>
      </c>
      <c r="C28" s="6"/>
      <c r="D28" s="6"/>
      <c r="E28" s="6"/>
      <c r="F28" s="6"/>
      <c r="G28" s="6"/>
      <c r="H28" s="6"/>
      <c r="I28" s="1"/>
    </row>
    <row r="29" spans="1:9" ht="24.75" customHeight="1" x14ac:dyDescent="0.25">
      <c r="A29" s="143" t="s">
        <v>246</v>
      </c>
      <c r="B29" s="127"/>
      <c r="C29" s="127"/>
      <c r="D29" s="129">
        <f>Calcolatore!$B$91</f>
        <v>108975.27704</v>
      </c>
      <c r="E29" s="127"/>
      <c r="F29" s="139" t="s">
        <v>247</v>
      </c>
      <c r="G29" s="127"/>
      <c r="H29" s="127"/>
      <c r="I29" s="1"/>
    </row>
    <row r="30" spans="1:9" ht="24.75" customHeight="1" x14ac:dyDescent="0.25">
      <c r="A30" s="143" t="s">
        <v>210</v>
      </c>
      <c r="B30" s="127"/>
      <c r="C30" s="127"/>
      <c r="D30" s="134">
        <f>Calcolatore!$B$92</f>
        <v>0.60676657594654793</v>
      </c>
      <c r="E30" s="127"/>
      <c r="F30" s="139"/>
      <c r="G30" s="127"/>
      <c r="H30" s="127"/>
      <c r="I30" s="1"/>
    </row>
    <row r="31" spans="1:9" ht="24.75" customHeight="1" x14ac:dyDescent="0.25">
      <c r="A31" s="128" t="s">
        <v>248</v>
      </c>
      <c r="B31" s="127"/>
      <c r="C31" s="127"/>
      <c r="D31" s="130">
        <f>Calcolatore!$B$93</f>
        <v>73877.555771038853</v>
      </c>
      <c r="E31" s="127"/>
      <c r="F31" s="126" t="s">
        <v>249</v>
      </c>
      <c r="G31" s="127"/>
      <c r="H31" s="127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8.75" customHeight="1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18.75" customHeight="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8.75" customHeight="1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8.75" customHeight="1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8.75" customHeight="1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ht="18.75" customHeight="1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18.75" customHeight="1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8.75" customHeight="1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18.75" customHeight="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8.75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18.75" customHeight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21" customHeight="1" x14ac:dyDescent="0.25">
      <c r="A45" s="3"/>
      <c r="B45" s="5" t="s">
        <v>250</v>
      </c>
      <c r="C45" s="6"/>
      <c r="D45" s="6"/>
      <c r="E45" s="6"/>
      <c r="F45" s="6"/>
      <c r="G45" s="6"/>
      <c r="H45" s="6"/>
      <c r="I45" s="1"/>
    </row>
    <row r="46" spans="1:9" ht="18.75" customHeight="1" x14ac:dyDescent="0.25">
      <c r="A46" s="131" t="s">
        <v>251</v>
      </c>
      <c r="B46" s="127"/>
      <c r="C46" s="127"/>
      <c r="D46" s="140">
        <f>Calcolatore!$B$23*Parametri!$B$24</f>
        <v>135000</v>
      </c>
      <c r="E46" s="127"/>
      <c r="F46" s="141" t="s">
        <v>252</v>
      </c>
      <c r="G46" s="127"/>
      <c r="H46" s="127"/>
      <c r="I46" s="1"/>
    </row>
    <row r="47" spans="1:9" ht="18.75" customHeight="1" x14ac:dyDescent="0.25">
      <c r="A47" s="148" t="s">
        <v>253</v>
      </c>
      <c r="B47" s="127"/>
      <c r="C47" s="127"/>
      <c r="D47" s="140">
        <f>MAX(0,$D$46*$E$113)</f>
        <v>89496.296296296292</v>
      </c>
      <c r="E47" s="127"/>
      <c r="F47" s="144">
        <f>D47/D46</f>
        <v>0.66293552812071332</v>
      </c>
      <c r="G47" s="111"/>
      <c r="H47" s="111"/>
      <c r="I47" s="1"/>
    </row>
    <row r="48" spans="1:9" ht="18.75" customHeight="1" x14ac:dyDescent="0.25">
      <c r="A48" s="46" t="s">
        <v>254</v>
      </c>
      <c r="B48" s="45"/>
      <c r="C48" s="45"/>
      <c r="D48" s="84"/>
      <c r="E48" s="85">
        <f>MAX(0,$D$46*$E$114-$D$47)</f>
        <v>16200</v>
      </c>
      <c r="F48" s="144">
        <f>E48/D46</f>
        <v>0.12</v>
      </c>
      <c r="G48" s="111"/>
      <c r="H48" s="111"/>
      <c r="I48" s="86"/>
    </row>
    <row r="49" spans="1:9" ht="18.75" customHeight="1" x14ac:dyDescent="0.25">
      <c r="A49" s="46" t="s">
        <v>255</v>
      </c>
      <c r="B49" s="45"/>
      <c r="C49" s="45"/>
      <c r="D49" s="84"/>
      <c r="E49" s="85">
        <f>SUM(D47:E48)</f>
        <v>105696.29629629629</v>
      </c>
      <c r="F49" s="151">
        <f>F48+F47</f>
        <v>0.78293552812071332</v>
      </c>
      <c r="G49" s="127"/>
      <c r="H49" s="127"/>
      <c r="I49" s="1"/>
    </row>
    <row r="50" spans="1:9" ht="24.75" customHeight="1" x14ac:dyDescent="0.25">
      <c r="A50" s="143" t="s">
        <v>256</v>
      </c>
      <c r="B50" s="127"/>
      <c r="C50" s="127"/>
      <c r="D50" s="129">
        <f>$E$49*$E$112</f>
        <v>23253.185185185186</v>
      </c>
      <c r="E50" s="127"/>
      <c r="F50" s="139"/>
      <c r="G50" s="127"/>
      <c r="H50" s="127"/>
      <c r="I50" s="1"/>
    </row>
    <row r="51" spans="1:9" ht="18.75" customHeight="1" x14ac:dyDescent="0.25">
      <c r="A51" s="131" t="s">
        <v>257</v>
      </c>
      <c r="B51" s="127"/>
      <c r="C51" s="127"/>
      <c r="D51" s="132">
        <f>Calcolatore!$B$62*2</f>
        <v>10605.105468506477</v>
      </c>
      <c r="E51" s="127"/>
      <c r="F51" s="126" t="s">
        <v>258</v>
      </c>
      <c r="G51" s="127"/>
      <c r="H51" s="127"/>
      <c r="I51" s="1"/>
    </row>
    <row r="52" spans="1:9" ht="24.75" customHeight="1" x14ac:dyDescent="0.25">
      <c r="A52" s="128" t="s">
        <v>259</v>
      </c>
      <c r="B52" s="127"/>
      <c r="C52" s="127"/>
      <c r="D52" s="130">
        <f>$D$50-$D$51</f>
        <v>12648.079716678709</v>
      </c>
      <c r="E52" s="127"/>
      <c r="F52" s="126" t="s">
        <v>260</v>
      </c>
      <c r="G52" s="127"/>
      <c r="H52" s="127"/>
      <c r="I52" s="1"/>
    </row>
    <row r="53" spans="1:9" ht="18.75" customHeight="1" x14ac:dyDescent="0.25">
      <c r="A53" s="131" t="s">
        <v>261</v>
      </c>
      <c r="B53" s="127"/>
      <c r="C53" s="127"/>
      <c r="D53" s="155">
        <f>$D$47*$E$116/1000</f>
        <v>25.058962962962962</v>
      </c>
      <c r="E53" s="127"/>
      <c r="F53" s="126"/>
      <c r="G53" s="127"/>
      <c r="H53" s="127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8.75" customHeight="1" x14ac:dyDescent="0.25">
      <c r="A55" s="1"/>
      <c r="B55" s="1"/>
      <c r="C55" s="1"/>
      <c r="E55" s="7"/>
      <c r="F55" s="8"/>
      <c r="G55" s="8"/>
      <c r="H55" s="9"/>
      <c r="I55" s="1"/>
    </row>
    <row r="56" spans="1:9" ht="18.75" customHeight="1" x14ac:dyDescent="0.25">
      <c r="A56" s="1"/>
      <c r="B56" s="1"/>
      <c r="C56" s="1"/>
      <c r="E56" s="10"/>
      <c r="F56" s="11" t="s">
        <v>262</v>
      </c>
      <c r="G56" s="87">
        <f>MATCH(TRUE(),INDEX($B$134:$B$148&gt;0,0),0)</f>
        <v>3</v>
      </c>
      <c r="H56" s="12"/>
      <c r="I56" s="1"/>
    </row>
    <row r="57" spans="1:9" ht="18.75" customHeight="1" x14ac:dyDescent="0.25">
      <c r="A57" s="1"/>
      <c r="B57" s="1"/>
      <c r="C57" s="1"/>
      <c r="E57" s="10"/>
      <c r="F57" s="6"/>
      <c r="G57" s="6"/>
      <c r="H57" s="12"/>
      <c r="I57" s="1"/>
    </row>
    <row r="58" spans="1:9" ht="18.75" customHeight="1" x14ac:dyDescent="0.25">
      <c r="A58" s="1"/>
      <c r="B58" s="1"/>
      <c r="C58" s="1"/>
      <c r="E58" s="10"/>
      <c r="F58" s="11" t="s">
        <v>263</v>
      </c>
      <c r="G58" s="88">
        <f>IFERROR($B$150-1+(-INDEX($B$133:$B$147,$B$150))/(INDEX($B$134:$B$148,$B$150)-INDEX($B$133:$B$147,$B$150)),"oltre 15 anni")</f>
        <v>2.7726233180404631</v>
      </c>
      <c r="H58" s="12"/>
      <c r="I58" s="1"/>
    </row>
    <row r="59" spans="1:9" ht="18.75" customHeight="1" x14ac:dyDescent="0.25">
      <c r="A59" s="1"/>
      <c r="B59" s="1"/>
      <c r="C59" s="1"/>
      <c r="E59" s="10"/>
      <c r="F59" s="6"/>
      <c r="G59" s="6"/>
      <c r="H59" s="12"/>
      <c r="I59" s="1"/>
    </row>
    <row r="60" spans="1:9" ht="18.75" customHeight="1" x14ac:dyDescent="0.25">
      <c r="A60" s="1"/>
      <c r="B60" s="1"/>
      <c r="C60" s="1"/>
      <c r="E60" s="10"/>
      <c r="F60" s="13" t="s">
        <v>264</v>
      </c>
      <c r="G60" s="89">
        <f>IRR(B67:B82)</f>
        <v>0.34444089260951749</v>
      </c>
      <c r="H60" s="12"/>
      <c r="I60" s="1"/>
    </row>
    <row r="61" spans="1:9" ht="18.75" customHeight="1" x14ac:dyDescent="0.25">
      <c r="A61" s="1"/>
      <c r="B61" s="1"/>
      <c r="C61" s="1"/>
      <c r="E61" s="14"/>
      <c r="F61" s="15"/>
      <c r="G61" s="15"/>
      <c r="H61" s="16"/>
      <c r="I61" s="1"/>
    </row>
    <row r="62" spans="1:9" ht="18.75" customHeight="1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ht="18.75" customHeight="1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ht="18.75" customHeight="1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ht="18.75" customHeight="1" x14ac:dyDescent="0.25">
      <c r="A65" s="17" t="s">
        <v>265</v>
      </c>
      <c r="C65" s="1"/>
      <c r="D65" s="1"/>
      <c r="E65" s="1"/>
      <c r="F65" s="1"/>
      <c r="G65" s="1"/>
      <c r="H65" s="1"/>
      <c r="I65" s="1"/>
    </row>
    <row r="66" spans="1:9" ht="18.75" customHeight="1" x14ac:dyDescent="0.25">
      <c r="A66" t="s">
        <v>266</v>
      </c>
      <c r="B66" t="s">
        <v>267</v>
      </c>
      <c r="C66" s="1"/>
      <c r="D66" s="1"/>
      <c r="E66" s="1"/>
      <c r="F66" s="1"/>
      <c r="G66" s="1"/>
      <c r="H66" s="1"/>
      <c r="I66" s="1"/>
    </row>
    <row r="67" spans="1:9" ht="18.75" customHeight="1" x14ac:dyDescent="0.25">
      <c r="A67">
        <v>0</v>
      </c>
      <c r="B67" s="90">
        <f>-Calcolatore!$B$58</f>
        <v>-56379.999999999985</v>
      </c>
      <c r="C67" s="1"/>
      <c r="D67" s="1"/>
      <c r="E67" s="1"/>
      <c r="F67" s="1"/>
      <c r="G67" s="1"/>
      <c r="H67" s="1"/>
      <c r="I67" s="1"/>
    </row>
    <row r="68" spans="1:9" ht="18.75" customHeight="1" x14ac:dyDescent="0.25">
      <c r="A68">
        <v>1</v>
      </c>
      <c r="B68" s="90">
        <f>B67+$D$50+IF($A68&lt;=Calcolatore!$B$82,Calcolatore!$B$83,0)-IF($A68=1,Calcolatore!$B$63,IF($A68&lt;=7,$D$51,0))</f>
        <v>-30053.080538451166</v>
      </c>
      <c r="C68" s="1"/>
      <c r="D68" s="1"/>
      <c r="E68" s="1"/>
      <c r="F68" s="1"/>
      <c r="G68" s="1"/>
      <c r="H68" s="1"/>
      <c r="I68" s="1"/>
    </row>
    <row r="69" spans="1:9" ht="18.75" customHeight="1" x14ac:dyDescent="0.25">
      <c r="A69">
        <v>2</v>
      </c>
      <c r="B69" s="90">
        <f>B68+$D$50+IF($A69&lt;=Calcolatore!$B$82,Calcolatore!$B$83,0)-IF($A69=1,Calcolatore!$B$63,IF($A69&lt;=7,$D$51,0))</f>
        <v>-13099.066545408821</v>
      </c>
      <c r="C69" s="1"/>
      <c r="D69" s="1"/>
      <c r="E69" s="1"/>
      <c r="F69" s="1"/>
      <c r="G69" s="1"/>
      <c r="H69" s="1"/>
      <c r="I69" s="1"/>
    </row>
    <row r="70" spans="1:9" ht="18.75" customHeight="1" x14ac:dyDescent="0.25">
      <c r="A70">
        <v>3</v>
      </c>
      <c r="B70" s="90">
        <f>B69+$D$50+IF($A70&lt;=Calcolatore!$B$82,Calcolatore!$B$83,0)-IF($A70=1,Calcolatore!$B$63,IF($A70&lt;=7,$D$51,0))</f>
        <v>3854.9474476335236</v>
      </c>
      <c r="C70" s="1"/>
      <c r="D70" s="1"/>
      <c r="E70" s="1"/>
      <c r="F70" s="1"/>
      <c r="G70" s="1"/>
      <c r="H70" s="1"/>
      <c r="I70" s="1"/>
    </row>
    <row r="71" spans="1:9" ht="18.75" customHeight="1" x14ac:dyDescent="0.25">
      <c r="A71">
        <v>4</v>
      </c>
      <c r="B71" s="90">
        <f>B70+$D$50+IF($A71&lt;=Calcolatore!$B$82,Calcolatore!$B$83,0)-IF($A71=1,Calcolatore!$B$63,IF($A71&lt;=7,$D$51,0))</f>
        <v>20808.961440675866</v>
      </c>
      <c r="C71" s="1"/>
      <c r="D71" s="1"/>
      <c r="E71" s="1"/>
      <c r="F71" s="1"/>
      <c r="G71" s="1"/>
      <c r="H71" s="1"/>
      <c r="I71" s="1"/>
    </row>
    <row r="72" spans="1:9" ht="18.75" customHeight="1" x14ac:dyDescent="0.25">
      <c r="A72">
        <v>5</v>
      </c>
      <c r="B72" s="90">
        <f>B71+$D$50+IF($A72&lt;=Calcolatore!$B$82,Calcolatore!$B$83,0)-IF($A72=1,Calcolatore!$B$63,IF($A72&lt;=7,$D$51,0))</f>
        <v>37762.975433718209</v>
      </c>
      <c r="C72" s="1"/>
      <c r="D72" s="1"/>
      <c r="E72" s="1"/>
      <c r="F72" s="1"/>
      <c r="G72" s="1"/>
      <c r="H72" s="1"/>
      <c r="I72" s="1"/>
    </row>
    <row r="73" spans="1:9" ht="18.75" customHeight="1" x14ac:dyDescent="0.25">
      <c r="A73">
        <v>6</v>
      </c>
      <c r="B73" s="90">
        <f>B72+$D$50+IF($A73&lt;=Calcolatore!$B$82,Calcolatore!$B$83,0)-IF($A73=1,Calcolatore!$B$63,IF($A73&lt;=7,$D$51,0))</f>
        <v>54716.989426760556</v>
      </c>
      <c r="C73" s="1"/>
      <c r="D73" s="1"/>
      <c r="E73" s="1"/>
      <c r="F73" s="1"/>
      <c r="G73" s="1"/>
      <c r="H73" s="1"/>
      <c r="I73" s="1"/>
    </row>
    <row r="74" spans="1:9" ht="18.75" customHeight="1" x14ac:dyDescent="0.25">
      <c r="A74">
        <v>7</v>
      </c>
      <c r="B74" s="90">
        <f>B73+$D$50+IF($A74&lt;=Calcolatore!$B$82,Calcolatore!$B$83,0)-IF($A74=1,Calcolatore!$B$63,IF($A74&lt;=7,$D$51,0))</f>
        <v>71671.003419802902</v>
      </c>
      <c r="C74" s="1"/>
      <c r="D74" s="1"/>
      <c r="E74" s="1"/>
      <c r="F74" s="1"/>
      <c r="G74" s="1"/>
      <c r="H74" s="1"/>
      <c r="I74" s="1"/>
    </row>
    <row r="75" spans="1:9" ht="18.75" customHeight="1" x14ac:dyDescent="0.25">
      <c r="A75">
        <v>8</v>
      </c>
      <c r="B75" s="90">
        <f>B74+$D$50+IF($A75&lt;=Calcolatore!$B$82,Calcolatore!$B$83,0)-IF($A75=1,Calcolatore!$B$63,IF($A75&lt;=7,$D$51,0))</f>
        <v>99230.122881351723</v>
      </c>
      <c r="C75" s="1"/>
      <c r="D75" s="1"/>
      <c r="E75" s="1"/>
      <c r="F75" s="1"/>
      <c r="G75" s="1"/>
      <c r="H75" s="1"/>
      <c r="I75" s="1"/>
    </row>
    <row r="76" spans="1:9" ht="18.75" customHeight="1" x14ac:dyDescent="0.25">
      <c r="A76">
        <v>9</v>
      </c>
      <c r="B76" s="90">
        <f>B75+$D$50+IF($A76&lt;=Calcolatore!$B$82,Calcolatore!$B$83,0)-IF($A76=1,Calcolatore!$B$63,IF($A76&lt;=7,$D$51,0))</f>
        <v>126789.24234290054</v>
      </c>
      <c r="C76" s="1"/>
      <c r="D76" s="1"/>
      <c r="E76" s="1"/>
      <c r="F76" s="1"/>
      <c r="G76" s="1"/>
      <c r="H76" s="1"/>
      <c r="I76" s="1"/>
    </row>
    <row r="77" spans="1:9" ht="18.75" customHeight="1" x14ac:dyDescent="0.25">
      <c r="A77">
        <v>10</v>
      </c>
      <c r="B77" s="90">
        <f>B76+$D$50+IF($A77&lt;=Calcolatore!$B$82,Calcolatore!$B$83,0)-IF($A77=1,Calcolatore!$B$63,IF($A77&lt;=7,$D$51,0))</f>
        <v>154348.36180444938</v>
      </c>
      <c r="C77" s="1"/>
      <c r="D77" s="1"/>
      <c r="E77" s="1"/>
      <c r="F77" s="1"/>
      <c r="G77" s="1"/>
      <c r="H77" s="1"/>
      <c r="I77" s="1"/>
    </row>
    <row r="78" spans="1:9" ht="15.75" customHeight="1" x14ac:dyDescent="0.25">
      <c r="A78">
        <v>11</v>
      </c>
      <c r="B78" s="90">
        <f>B77+$D$50+IF($A78&lt;=Calcolatore!$B$82,Calcolatore!$B$83,0)-IF($A78=1,Calcolatore!$B$63,IF($A78&lt;=7,$D$51,0))</f>
        <v>181907.48126599821</v>
      </c>
      <c r="C78" s="1"/>
      <c r="D78" s="1"/>
      <c r="E78" s="1"/>
      <c r="F78" s="1"/>
      <c r="G78" s="1"/>
      <c r="H78" s="1"/>
      <c r="I78" s="1"/>
    </row>
    <row r="79" spans="1:9" ht="18.75" customHeight="1" x14ac:dyDescent="0.25">
      <c r="A79">
        <v>12</v>
      </c>
      <c r="B79" s="90">
        <f>B78+$D$50+IF($A79&lt;=Calcolatore!$B$82,Calcolatore!$B$83,0)-IF($A79=1,Calcolatore!$B$63,IF($A79&lt;=7,$D$51,0))</f>
        <v>205160.66645118341</v>
      </c>
      <c r="C79" s="1"/>
      <c r="D79" s="1"/>
      <c r="E79" s="1"/>
      <c r="F79" s="1"/>
      <c r="G79" s="1"/>
      <c r="H79" s="1"/>
      <c r="I79" s="1"/>
    </row>
    <row r="80" spans="1:9" ht="18.75" customHeight="1" x14ac:dyDescent="0.25">
      <c r="A80">
        <v>13</v>
      </c>
      <c r="B80" s="90">
        <f>B79+$D$50+IF($A80&lt;=Calcolatore!$B$82,Calcolatore!$B$83,0)-IF($A80=1,Calcolatore!$B$63,IF($A80&lt;=7,$D$51,0))</f>
        <v>228413.85163636861</v>
      </c>
      <c r="C80" s="1"/>
      <c r="D80" s="1"/>
      <c r="E80" s="1"/>
      <c r="F80" s="1"/>
      <c r="G80" s="1"/>
      <c r="H80" s="1"/>
      <c r="I80" s="1"/>
    </row>
    <row r="81" spans="1:9" ht="18.75" customHeight="1" x14ac:dyDescent="0.25">
      <c r="A81">
        <v>14</v>
      </c>
      <c r="B81" s="90">
        <f>B80+$D$50+IF($A81&lt;=Calcolatore!$B$82,Calcolatore!$B$83,0)-IF($A81=1,Calcolatore!$B$63,IF($A81&lt;=7,$D$51,0))</f>
        <v>251667.0368215538</v>
      </c>
      <c r="C81" s="1"/>
      <c r="D81" s="1"/>
      <c r="E81" s="1"/>
      <c r="F81" s="1"/>
      <c r="G81" s="1"/>
      <c r="H81" s="1"/>
      <c r="I81" s="1"/>
    </row>
    <row r="82" spans="1:9" ht="18.75" customHeight="1" x14ac:dyDescent="0.25">
      <c r="A82">
        <v>15</v>
      </c>
      <c r="B82" s="90">
        <f>B81+$D$50+IF($A82&lt;=Calcolatore!$B$82,Calcolatore!$B$83,0)-IF($A82=1,Calcolatore!$B$63,IF($A82&lt;=7,$D$51,0))</f>
        <v>274920.222006739</v>
      </c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ht="21" customHeight="1" x14ac:dyDescent="0.25">
      <c r="A84" s="4"/>
      <c r="B84" s="5" t="s">
        <v>268</v>
      </c>
      <c r="C84" s="6"/>
      <c r="D84" s="6"/>
      <c r="E84" s="6"/>
      <c r="F84" s="6"/>
      <c r="G84" s="6"/>
      <c r="H84" s="6"/>
      <c r="I84" s="1"/>
    </row>
    <row r="85" spans="1:9" ht="25.5" customHeight="1" x14ac:dyDescent="0.25">
      <c r="A85" s="142" t="s">
        <v>269</v>
      </c>
      <c r="B85" s="111"/>
      <c r="C85" s="111"/>
      <c r="D85" s="111"/>
      <c r="E85" s="111"/>
      <c r="F85" s="111"/>
      <c r="G85" s="111"/>
      <c r="H85" s="111"/>
      <c r="I85" s="1"/>
    </row>
    <row r="86" spans="1:9" ht="25.5" customHeight="1" x14ac:dyDescent="0.25">
      <c r="A86" s="142" t="s">
        <v>270</v>
      </c>
      <c r="B86" s="111"/>
      <c r="C86" s="111"/>
      <c r="D86" s="111"/>
      <c r="E86" s="111"/>
      <c r="F86" s="111"/>
      <c r="G86" s="111"/>
      <c r="H86" s="111"/>
      <c r="I86" s="1"/>
    </row>
    <row r="87" spans="1:9" ht="25.5" customHeight="1" x14ac:dyDescent="0.25">
      <c r="A87" s="142" t="s">
        <v>271</v>
      </c>
      <c r="B87" s="111"/>
      <c r="C87" s="111"/>
      <c r="D87" s="111"/>
      <c r="E87" s="111"/>
      <c r="F87" s="111"/>
      <c r="G87" s="111"/>
      <c r="H87" s="111"/>
      <c r="I87" s="1"/>
    </row>
    <row r="88" spans="1:9" ht="25.5" customHeight="1" x14ac:dyDescent="0.25">
      <c r="A88" s="147" t="str">
        <f>IF(Calcolatore!$B$50="Si","▪   La simulazione include la maggiorazione prevista per le imprese che aderiscono a una Comunità Energetica Rinnovabile: +5 punti percentuali sul finanziamento e 10 punti di punteggio.","▪   Aderendo a una Comunità Energetica Rinnovabile il finanziamento aumenterebbe di 5 punti percentuali, con 10 punti aggiuntivi di punteggio.")</f>
        <v>▪   La simulazione include la maggiorazione prevista per le imprese che aderiscono a una Comunità Energetica Rinnovabile: +5 punti percentuali sul finanziamento e 10 punti di punteggio.</v>
      </c>
      <c r="B88" s="111"/>
      <c r="C88" s="111"/>
      <c r="D88" s="111"/>
      <c r="E88" s="111"/>
      <c r="F88" s="111"/>
      <c r="G88" s="111"/>
      <c r="H88" s="111"/>
      <c r="I88" s="1"/>
    </row>
    <row r="89" spans="1:9" ht="25.5" customHeight="1" x14ac:dyDescent="0.25">
      <c r="A89" s="142" t="s">
        <v>272</v>
      </c>
      <c r="B89" s="111"/>
      <c r="C89" s="111"/>
      <c r="D89" s="111"/>
      <c r="E89" s="111"/>
      <c r="F89" s="111"/>
      <c r="G89" s="111"/>
      <c r="H89" s="11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ht="15" customHeight="1" x14ac:dyDescent="0.25">
      <c r="A91" s="135" t="s">
        <v>273</v>
      </c>
      <c r="B91" s="136"/>
      <c r="C91" s="136"/>
      <c r="D91" s="136"/>
      <c r="E91" s="136"/>
      <c r="F91" s="136"/>
      <c r="G91" s="136"/>
      <c r="H91" s="136"/>
      <c r="I91" s="1"/>
    </row>
    <row r="92" spans="1:9" x14ac:dyDescent="0.25">
      <c r="A92" s="111"/>
      <c r="B92" s="125"/>
      <c r="C92" s="125"/>
      <c r="D92" s="125"/>
      <c r="E92" s="125"/>
      <c r="F92" s="125"/>
      <c r="G92" s="125"/>
      <c r="H92" s="111"/>
      <c r="I92" s="1"/>
    </row>
    <row r="93" spans="1:9" x14ac:dyDescent="0.25">
      <c r="A93" s="111"/>
      <c r="B93" s="111"/>
      <c r="C93" s="111"/>
      <c r="D93" s="111"/>
      <c r="E93" s="111"/>
      <c r="F93" s="111"/>
      <c r="G93" s="111"/>
      <c r="H93" s="11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54" t="s">
        <v>274</v>
      </c>
      <c r="B95" s="111"/>
      <c r="C95" s="111"/>
      <c r="D95" s="111"/>
      <c r="E95" s="111"/>
      <c r="F95" s="111"/>
      <c r="G95" s="111"/>
      <c r="H95" s="11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8" t="s">
        <v>275</v>
      </c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46" t="s">
        <v>276</v>
      </c>
      <c r="B112" s="111"/>
      <c r="C112" s="111"/>
      <c r="D112" s="111"/>
      <c r="E112" s="91">
        <f>Calcolatore!B19</f>
        <v>0.22</v>
      </c>
      <c r="F112" s="1"/>
      <c r="G112" s="1"/>
      <c r="H112" s="1"/>
      <c r="I112" s="1"/>
    </row>
    <row r="113" spans="1:9" x14ac:dyDescent="0.25">
      <c r="A113" s="138" t="s">
        <v>277</v>
      </c>
      <c r="B113" s="111"/>
      <c r="C113" s="111"/>
      <c r="D113" s="111"/>
      <c r="E113" s="92">
        <f>IFERROR(MAX(0,MIN(0.95,(Calcolatore!$B$15+Calcolatore!$B$16+Calcolatore!$B$17)/(Calcolatore!$B$23*Parametri!$B$24),0.25+0.8*MIN(Calcolatore!$B$18,(Calcolatore!$B$15+0.2*Calcolatore!$B$16)/2700)/Calcolatore!$B$23)),0)</f>
        <v>0.66293552812071332</v>
      </c>
      <c r="F113" s="1"/>
      <c r="G113" s="1"/>
      <c r="H113" s="1"/>
      <c r="I113" s="1"/>
    </row>
    <row r="114" spans="1:9" x14ac:dyDescent="0.25">
      <c r="A114" s="50" t="s">
        <v>278</v>
      </c>
      <c r="B114" s="49"/>
      <c r="C114" s="49"/>
      <c r="D114" s="49"/>
      <c r="E114" s="92">
        <f>IFERROR(IF($D$46&lt;=0,0,MIN(1,($D$46*$E$113+MIN(MAX(0,$D$46-$D$46*$E$113),Calcolatore!$B$16+Calcolatore!$B$17,Calcolatore!$B$28*180*0.9))/$D$46)),0)</f>
        <v>0.78293552812071332</v>
      </c>
      <c r="F114" s="1"/>
      <c r="G114" s="1"/>
      <c r="H114" s="1"/>
      <c r="I114" s="1"/>
    </row>
    <row r="115" spans="1:9" x14ac:dyDescent="0.25">
      <c r="A115" s="146" t="s">
        <v>279</v>
      </c>
      <c r="B115" s="111"/>
      <c r="C115" s="111"/>
      <c r="D115" s="111"/>
      <c r="E115" s="93"/>
      <c r="F115" s="1"/>
      <c r="G115" s="1"/>
      <c r="H115" s="1"/>
      <c r="I115" s="1"/>
    </row>
    <row r="116" spans="1:9" x14ac:dyDescent="0.25">
      <c r="A116" s="146" t="s">
        <v>280</v>
      </c>
      <c r="B116" s="111"/>
      <c r="C116" s="111"/>
      <c r="D116" s="111"/>
      <c r="E116" s="94">
        <v>0.28000000000000003</v>
      </c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53" t="s">
        <v>281</v>
      </c>
      <c r="B118" s="111"/>
      <c r="C118" s="111"/>
      <c r="D118" s="111"/>
      <c r="E118" s="111"/>
      <c r="F118" s="111"/>
      <c r="G118" s="111"/>
      <c r="H118" s="11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7" t="s">
        <v>282</v>
      </c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49" t="s">
        <v>283</v>
      </c>
      <c r="B121" s="95">
        <f>Calcolatore!$B$60</f>
        <v>61610.000000000007</v>
      </c>
      <c r="C121" s="1"/>
      <c r="D121" s="1"/>
      <c r="E121" s="1"/>
      <c r="F121" s="1"/>
      <c r="G121" s="1"/>
      <c r="H121" s="1"/>
      <c r="I121" s="1"/>
    </row>
    <row r="122" spans="1:9" x14ac:dyDescent="0.25">
      <c r="A122" s="49" t="s">
        <v>284</v>
      </c>
      <c r="B122" s="95">
        <f>Calcolatore!$B$81</f>
        <v>47365.277039999994</v>
      </c>
      <c r="C122" s="1"/>
      <c r="D122" s="1"/>
      <c r="E122" s="1"/>
      <c r="F122" s="1"/>
      <c r="G122" s="1"/>
      <c r="H122" s="1"/>
      <c r="I122" s="1"/>
    </row>
    <row r="123" spans="1:9" x14ac:dyDescent="0.25">
      <c r="A123" s="49" t="s">
        <v>285</v>
      </c>
      <c r="B123" s="95">
        <f>MAX(0,Calcolatore!$B$47-Calcolatore!$B$60-Calcolatore!$B$81)</f>
        <v>70624.722960000014</v>
      </c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7" t="s">
        <v>286</v>
      </c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49" t="s">
        <v>287</v>
      </c>
      <c r="C126" s="1"/>
      <c r="D126" s="1"/>
      <c r="E126" s="1"/>
      <c r="F126" s="1"/>
      <c r="G126" s="1"/>
      <c r="H126" s="1"/>
      <c r="I126" s="1"/>
    </row>
    <row r="127" spans="1:9" x14ac:dyDescent="0.25">
      <c r="A127" s="49" t="s">
        <v>288</v>
      </c>
      <c r="B127" s="95">
        <f>$D$50</f>
        <v>23253.185185185186</v>
      </c>
      <c r="C127" s="1"/>
      <c r="D127" s="1"/>
      <c r="E127" s="1"/>
      <c r="F127" s="1"/>
      <c r="G127" s="1"/>
      <c r="H127" s="1"/>
      <c r="I127" s="1"/>
    </row>
    <row r="128" spans="1:9" x14ac:dyDescent="0.25">
      <c r="A128" s="19" t="s">
        <v>289</v>
      </c>
      <c r="B128" s="96">
        <f>-$D$51</f>
        <v>-10605.105468506477</v>
      </c>
    </row>
    <row r="129" spans="1:3" x14ac:dyDescent="0.25">
      <c r="A129" s="19" t="s">
        <v>290</v>
      </c>
      <c r="B129" s="96">
        <f>$D$52</f>
        <v>12648.079716678709</v>
      </c>
    </row>
    <row r="131" spans="1:3" x14ac:dyDescent="0.25">
      <c r="A131" s="17" t="s">
        <v>265</v>
      </c>
    </row>
    <row r="132" spans="1:3" x14ac:dyDescent="0.25">
      <c r="A132" t="s">
        <v>266</v>
      </c>
      <c r="B132" t="s">
        <v>267</v>
      </c>
      <c r="C132" t="s">
        <v>291</v>
      </c>
    </row>
    <row r="133" spans="1:3" x14ac:dyDescent="0.25">
      <c r="A133">
        <v>0</v>
      </c>
      <c r="B133" s="90">
        <f>-Calcolatore!$B$58</f>
        <v>-56379.999999999985</v>
      </c>
      <c r="C133" s="97">
        <f t="shared" ref="C133:C148" si="0">B133</f>
        <v>-56379.999999999985</v>
      </c>
    </row>
    <row r="134" spans="1:3" x14ac:dyDescent="0.25">
      <c r="A134">
        <v>1</v>
      </c>
      <c r="B134" s="90">
        <f>B133+$D$50+IF($A134&lt;=Calcolatore!$B$82,Calcolatore!$B$83,0)-IF($A134=1,Calcolatore!$B$63,IF($A134&lt;=7,$D$51,0))</f>
        <v>-30053.080538451166</v>
      </c>
      <c r="C134" s="97">
        <f t="shared" si="0"/>
        <v>-30053.080538451166</v>
      </c>
    </row>
    <row r="135" spans="1:3" x14ac:dyDescent="0.25">
      <c r="A135">
        <v>2</v>
      </c>
      <c r="B135" s="90">
        <f>B134+$D$50+IF($A135&lt;=Calcolatore!$B$82,Calcolatore!$B$83,0)-IF($A135=1,Calcolatore!$B$63,IF($A135&lt;=7,$D$51,0))</f>
        <v>-13099.066545408821</v>
      </c>
      <c r="C135" s="97">
        <f t="shared" si="0"/>
        <v>-13099.066545408821</v>
      </c>
    </row>
    <row r="136" spans="1:3" x14ac:dyDescent="0.25">
      <c r="A136">
        <v>3</v>
      </c>
      <c r="B136" s="90">
        <f>B135+$D$50+IF($A136&lt;=Calcolatore!$B$82,Calcolatore!$B$83,0)-IF($A136=1,Calcolatore!$B$63,IF($A136&lt;=7,$D$51,0))</f>
        <v>3854.9474476335236</v>
      </c>
      <c r="C136" s="97">
        <f t="shared" si="0"/>
        <v>3854.9474476335236</v>
      </c>
    </row>
    <row r="137" spans="1:3" x14ac:dyDescent="0.25">
      <c r="A137">
        <v>4</v>
      </c>
      <c r="B137" s="90">
        <f>B136+$D$50+IF($A137&lt;=Calcolatore!$B$82,Calcolatore!$B$83,0)-IF($A137=1,Calcolatore!$B$63,IF($A137&lt;=7,$D$51,0))</f>
        <v>20808.961440675866</v>
      </c>
      <c r="C137" s="97">
        <f t="shared" si="0"/>
        <v>20808.961440675866</v>
      </c>
    </row>
    <row r="138" spans="1:3" x14ac:dyDescent="0.25">
      <c r="A138">
        <v>5</v>
      </c>
      <c r="B138" s="90">
        <f>B137+$D$50+IF($A138&lt;=Calcolatore!$B$82,Calcolatore!$B$83,0)-IF($A138=1,Calcolatore!$B$63,IF($A138&lt;=7,$D$51,0))</f>
        <v>37762.975433718209</v>
      </c>
      <c r="C138" s="97">
        <f t="shared" si="0"/>
        <v>37762.975433718209</v>
      </c>
    </row>
    <row r="139" spans="1:3" x14ac:dyDescent="0.25">
      <c r="A139">
        <v>6</v>
      </c>
      <c r="B139" s="90">
        <f>B138+$D$50+IF($A139&lt;=Calcolatore!$B$82,Calcolatore!$B$83,0)-IF($A139=1,Calcolatore!$B$63,IF($A139&lt;=7,$D$51,0))</f>
        <v>54716.989426760556</v>
      </c>
      <c r="C139" s="97">
        <f t="shared" si="0"/>
        <v>54716.989426760556</v>
      </c>
    </row>
    <row r="140" spans="1:3" x14ac:dyDescent="0.25">
      <c r="A140">
        <v>7</v>
      </c>
      <c r="B140" s="90">
        <f>B139+$D$50+IF($A140&lt;=Calcolatore!$B$82,Calcolatore!$B$83,0)-IF($A140=1,Calcolatore!$B$63,IF($A140&lt;=7,$D$51,0))</f>
        <v>71671.003419802902</v>
      </c>
      <c r="C140" s="97">
        <f t="shared" si="0"/>
        <v>71671.003419802902</v>
      </c>
    </row>
    <row r="141" spans="1:3" x14ac:dyDescent="0.25">
      <c r="A141">
        <v>8</v>
      </c>
      <c r="B141" s="90">
        <f>B140+$D$50+IF($A141&lt;=Calcolatore!$B$82,Calcolatore!$B$83,0)-IF($A141=1,Calcolatore!$B$63,IF($A141&lt;=7,$D$51,0))</f>
        <v>99230.122881351723</v>
      </c>
      <c r="C141" s="97">
        <f t="shared" si="0"/>
        <v>99230.122881351723</v>
      </c>
    </row>
    <row r="142" spans="1:3" x14ac:dyDescent="0.25">
      <c r="A142">
        <v>9</v>
      </c>
      <c r="B142" s="90">
        <f>B141+$D$50+IF($A142&lt;=Calcolatore!$B$82,Calcolatore!$B$83,0)-IF($A142=1,Calcolatore!$B$63,IF($A142&lt;=7,$D$51,0))</f>
        <v>126789.24234290054</v>
      </c>
      <c r="C142" s="97">
        <f t="shared" si="0"/>
        <v>126789.24234290054</v>
      </c>
    </row>
    <row r="143" spans="1:3" x14ac:dyDescent="0.25">
      <c r="A143">
        <v>10</v>
      </c>
      <c r="B143" s="90">
        <f>B142+$D$50+IF($A143&lt;=Calcolatore!$B$82,Calcolatore!$B$83,0)-IF($A143=1,Calcolatore!$B$63,IF($A143&lt;=7,$D$51,0))</f>
        <v>154348.36180444938</v>
      </c>
      <c r="C143" s="97">
        <f t="shared" si="0"/>
        <v>154348.36180444938</v>
      </c>
    </row>
    <row r="144" spans="1:3" x14ac:dyDescent="0.25">
      <c r="A144">
        <v>11</v>
      </c>
      <c r="B144" s="90">
        <f>B143+$D$50+IF($A144&lt;=Calcolatore!$B$82,Calcolatore!$B$83,0)-IF($A144=1,Calcolatore!$B$63,IF($A144&lt;=7,$D$51,0))</f>
        <v>181907.48126599821</v>
      </c>
      <c r="C144" s="97">
        <f t="shared" si="0"/>
        <v>181907.48126599821</v>
      </c>
    </row>
    <row r="145" spans="1:3" x14ac:dyDescent="0.25">
      <c r="A145">
        <v>12</v>
      </c>
      <c r="B145" s="90">
        <f>B144+$D$50+IF($A145&lt;=Calcolatore!$B$82,Calcolatore!$B$83,0)-IF($A145=1,Calcolatore!$B$63,IF($A145&lt;=7,$D$51,0))</f>
        <v>205160.66645118341</v>
      </c>
      <c r="C145" s="97">
        <f t="shared" si="0"/>
        <v>205160.66645118341</v>
      </c>
    </row>
    <row r="146" spans="1:3" x14ac:dyDescent="0.25">
      <c r="A146">
        <v>13</v>
      </c>
      <c r="B146" s="90">
        <f>B145+$D$50+IF($A146&lt;=Calcolatore!$B$82,Calcolatore!$B$83,0)-IF($A146=1,Calcolatore!$B$63,IF($A146&lt;=7,$D$51,0))</f>
        <v>228413.85163636861</v>
      </c>
      <c r="C146" s="97">
        <f t="shared" si="0"/>
        <v>228413.85163636861</v>
      </c>
    </row>
    <row r="147" spans="1:3" x14ac:dyDescent="0.25">
      <c r="A147">
        <v>14</v>
      </c>
      <c r="B147" s="90">
        <f>B146+$D$50+IF($A147&lt;=Calcolatore!$B$82,Calcolatore!$B$83,0)-IF($A147=1,Calcolatore!$B$63,IF($A147&lt;=7,$D$51,0))</f>
        <v>251667.0368215538</v>
      </c>
      <c r="C147" s="97">
        <f t="shared" si="0"/>
        <v>251667.0368215538</v>
      </c>
    </row>
    <row r="148" spans="1:3" x14ac:dyDescent="0.25">
      <c r="A148">
        <v>15</v>
      </c>
      <c r="B148" s="90">
        <f>B147+$D$50+IF($A148&lt;=Calcolatore!$B$82,Calcolatore!$B$83,0)-IF($A148=1,Calcolatore!$B$63,IF($A148&lt;=7,$D$51,0))</f>
        <v>274920.222006739</v>
      </c>
      <c r="C148" s="97">
        <f t="shared" si="0"/>
        <v>274920.222006739</v>
      </c>
    </row>
    <row r="150" spans="1:3" x14ac:dyDescent="0.25">
      <c r="A150" t="s">
        <v>262</v>
      </c>
      <c r="B150" s="98">
        <f>MATCH(TRUE(),INDEX($B$134:$B$148&gt;0,0),0)</f>
        <v>3</v>
      </c>
    </row>
    <row r="152" spans="1:3" x14ac:dyDescent="0.25">
      <c r="A152" t="s">
        <v>262</v>
      </c>
      <c r="B152" s="98">
        <f>IFERROR($B$150-1+(-INDEX($B$133:$B$147,$B$150))/(INDEX($B$134:$B$148,$B$150)-INDEX($B$133:$B$147,$B$150)),"oltre 15 anni")</f>
        <v>2.7726233180404631</v>
      </c>
    </row>
  </sheetData>
  <sheetProtection sheet="1" objects="1" scenarios="1" selectLockedCells="1"/>
  <mergeCells count="88">
    <mergeCell ref="A118:H118"/>
    <mergeCell ref="A52:C52"/>
    <mergeCell ref="A86:H86"/>
    <mergeCell ref="A95:H95"/>
    <mergeCell ref="D24:E24"/>
    <mergeCell ref="D51:E51"/>
    <mergeCell ref="F51:H51"/>
    <mergeCell ref="D53:E53"/>
    <mergeCell ref="A85:H85"/>
    <mergeCell ref="A51:C51"/>
    <mergeCell ref="D29:E29"/>
    <mergeCell ref="A26:H26"/>
    <mergeCell ref="A30:C30"/>
    <mergeCell ref="F53:H53"/>
    <mergeCell ref="D25:E25"/>
    <mergeCell ref="A46:C46"/>
    <mergeCell ref="D1:H1"/>
    <mergeCell ref="F50:H50"/>
    <mergeCell ref="A12:C12"/>
    <mergeCell ref="A5:C5"/>
    <mergeCell ref="D11:E11"/>
    <mergeCell ref="A29:C29"/>
    <mergeCell ref="D47:E47"/>
    <mergeCell ref="F49:H49"/>
    <mergeCell ref="A31:C31"/>
    <mergeCell ref="A15:C15"/>
    <mergeCell ref="D9:E9"/>
    <mergeCell ref="F29:H29"/>
    <mergeCell ref="F11:H11"/>
    <mergeCell ref="A24:C24"/>
    <mergeCell ref="F25:H25"/>
    <mergeCell ref="D15:E15"/>
    <mergeCell ref="A116:D116"/>
    <mergeCell ref="A25:C25"/>
    <mergeCell ref="A18:C18"/>
    <mergeCell ref="A50:C50"/>
    <mergeCell ref="A115:D115"/>
    <mergeCell ref="A88:H88"/>
    <mergeCell ref="F23:H23"/>
    <mergeCell ref="D52:E52"/>
    <mergeCell ref="A47:C47"/>
    <mergeCell ref="F52:H52"/>
    <mergeCell ref="A20:C20"/>
    <mergeCell ref="D20:E20"/>
    <mergeCell ref="F18:H18"/>
    <mergeCell ref="A112:D112"/>
    <mergeCell ref="D31:E31"/>
    <mergeCell ref="F47:H47"/>
    <mergeCell ref="A91:H93"/>
    <mergeCell ref="D2:H3"/>
    <mergeCell ref="A113:D113"/>
    <mergeCell ref="F30:H30"/>
    <mergeCell ref="F20:H20"/>
    <mergeCell ref="D46:E46"/>
    <mergeCell ref="F46:H46"/>
    <mergeCell ref="A87:H87"/>
    <mergeCell ref="A8:C8"/>
    <mergeCell ref="A17:C17"/>
    <mergeCell ref="A53:C53"/>
    <mergeCell ref="F48:H48"/>
    <mergeCell ref="A89:H89"/>
    <mergeCell ref="A10:C10"/>
    <mergeCell ref="D5:H5"/>
    <mergeCell ref="F15:H15"/>
    <mergeCell ref="A9:C9"/>
    <mergeCell ref="D18:E18"/>
    <mergeCell ref="D8:E8"/>
    <mergeCell ref="F16:H16"/>
    <mergeCell ref="D30:E30"/>
    <mergeCell ref="A16:C16"/>
    <mergeCell ref="F24:H24"/>
    <mergeCell ref="D17:E17"/>
    <mergeCell ref="F8:H8"/>
    <mergeCell ref="F17:H17"/>
    <mergeCell ref="A23:C23"/>
    <mergeCell ref="F9:H9"/>
    <mergeCell ref="F12:H12"/>
    <mergeCell ref="D10:E10"/>
    <mergeCell ref="D19:E19"/>
    <mergeCell ref="D23:E23"/>
    <mergeCell ref="F10:H10"/>
    <mergeCell ref="A11:C11"/>
    <mergeCell ref="F19:H19"/>
    <mergeCell ref="D50:E50"/>
    <mergeCell ref="D16:E16"/>
    <mergeCell ref="A19:C19"/>
    <mergeCell ref="F31:H31"/>
    <mergeCell ref="D12:E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08080"/>
  </sheetPr>
  <dimension ref="A1:H47"/>
  <sheetViews>
    <sheetView workbookViewId="0"/>
  </sheetViews>
  <sheetFormatPr defaultColWidth="8.7109375" defaultRowHeight="15" x14ac:dyDescent="0.25"/>
  <cols>
    <col min="1" max="1" width="46" customWidth="1"/>
    <col min="2" max="8" width="17" customWidth="1"/>
  </cols>
  <sheetData>
    <row r="1" spans="1:8" ht="20.25" customHeight="1" x14ac:dyDescent="0.3">
      <c r="A1" s="20" t="s">
        <v>292</v>
      </c>
    </row>
    <row r="2" spans="1:8" ht="15" customHeight="1" x14ac:dyDescent="0.25">
      <c r="A2" s="159" t="s">
        <v>293</v>
      </c>
      <c r="B2" s="111"/>
      <c r="C2" s="111"/>
      <c r="D2" s="111"/>
      <c r="E2" s="111"/>
      <c r="F2" s="111"/>
      <c r="G2" s="111"/>
      <c r="H2" s="111"/>
    </row>
    <row r="3" spans="1:8" x14ac:dyDescent="0.25">
      <c r="A3" s="111"/>
      <c r="B3" s="111"/>
      <c r="C3" s="111"/>
      <c r="D3" s="111"/>
      <c r="E3" s="111"/>
      <c r="F3" s="111"/>
      <c r="G3" s="111"/>
      <c r="H3" s="111"/>
    </row>
    <row r="5" spans="1:8" x14ac:dyDescent="0.25">
      <c r="A5" s="37" t="s">
        <v>294</v>
      </c>
    </row>
    <row r="6" spans="1:8" ht="24" customHeight="1" x14ac:dyDescent="0.25">
      <c r="A6" s="21" t="s">
        <v>295</v>
      </c>
      <c r="B6" s="21" t="s">
        <v>296</v>
      </c>
      <c r="C6" s="21" t="s">
        <v>297</v>
      </c>
      <c r="D6" s="21" t="s">
        <v>298</v>
      </c>
      <c r="E6" s="21" t="s">
        <v>299</v>
      </c>
      <c r="F6" s="21" t="s">
        <v>300</v>
      </c>
      <c r="G6" s="21" t="s">
        <v>301</v>
      </c>
      <c r="H6" s="21" t="s">
        <v>302</v>
      </c>
    </row>
    <row r="7" spans="1:8" x14ac:dyDescent="0.25">
      <c r="A7" s="22" t="s">
        <v>303</v>
      </c>
      <c r="B7" s="99">
        <v>0.8</v>
      </c>
      <c r="C7" s="99">
        <v>0.8</v>
      </c>
      <c r="D7" s="99">
        <v>0.5</v>
      </c>
      <c r="E7" s="99">
        <v>0.65</v>
      </c>
      <c r="F7" s="99">
        <v>0.5</v>
      </c>
      <c r="G7" s="100">
        <v>350000</v>
      </c>
      <c r="H7" s="22" t="s">
        <v>304</v>
      </c>
    </row>
    <row r="8" spans="1:8" x14ac:dyDescent="0.25">
      <c r="A8" s="22" t="s">
        <v>305</v>
      </c>
      <c r="B8" s="99">
        <v>0.8</v>
      </c>
      <c r="C8" s="99">
        <v>0.8</v>
      </c>
      <c r="D8" s="99">
        <v>0.5</v>
      </c>
      <c r="E8" s="99">
        <v>0.65</v>
      </c>
      <c r="F8" s="99">
        <v>0.5</v>
      </c>
      <c r="G8" s="100">
        <v>350000</v>
      </c>
      <c r="H8" s="22" t="s">
        <v>306</v>
      </c>
    </row>
    <row r="9" spans="1:8" x14ac:dyDescent="0.25">
      <c r="A9" s="22" t="s">
        <v>307</v>
      </c>
      <c r="B9" s="99">
        <v>0.8</v>
      </c>
      <c r="C9" s="99">
        <v>0.8</v>
      </c>
      <c r="D9" s="99">
        <v>0.5</v>
      </c>
      <c r="E9" s="99">
        <v>0.65</v>
      </c>
      <c r="F9" s="99">
        <v>0.5</v>
      </c>
      <c r="G9" s="100">
        <v>350000</v>
      </c>
      <c r="H9" s="22" t="s">
        <v>304</v>
      </c>
    </row>
    <row r="10" spans="1:8" x14ac:dyDescent="0.25">
      <c r="A10" s="22" t="s">
        <v>24</v>
      </c>
      <c r="B10" s="99">
        <v>0.65</v>
      </c>
      <c r="C10" s="99">
        <v>0.6</v>
      </c>
      <c r="D10" s="99">
        <v>0.5</v>
      </c>
      <c r="E10" s="99">
        <v>0.55000000000000004</v>
      </c>
      <c r="F10" s="99">
        <v>0.4</v>
      </c>
      <c r="G10" s="100">
        <v>350000</v>
      </c>
      <c r="H10" s="22" t="s">
        <v>304</v>
      </c>
    </row>
    <row r="11" spans="1:8" x14ac:dyDescent="0.25">
      <c r="A11" s="22" t="s">
        <v>308</v>
      </c>
      <c r="B11" s="99">
        <v>0.5</v>
      </c>
      <c r="C11" s="99">
        <v>0.5</v>
      </c>
      <c r="D11" s="99">
        <v>0.4</v>
      </c>
      <c r="E11" s="99">
        <v>0.45</v>
      </c>
      <c r="F11" s="99">
        <v>0.3</v>
      </c>
      <c r="G11" s="100">
        <v>700000</v>
      </c>
      <c r="H11" s="22" t="s">
        <v>309</v>
      </c>
    </row>
    <row r="13" spans="1:8" ht="15" customHeight="1" x14ac:dyDescent="0.25">
      <c r="A13" s="158" t="s">
        <v>310</v>
      </c>
      <c r="B13" s="111"/>
      <c r="C13" s="111"/>
      <c r="D13" s="111"/>
      <c r="E13" s="111"/>
      <c r="F13" s="111"/>
      <c r="G13" s="111"/>
      <c r="H13" s="111"/>
    </row>
    <row r="14" spans="1:8" x14ac:dyDescent="0.25">
      <c r="A14" s="111"/>
      <c r="B14" s="111"/>
      <c r="C14" s="111"/>
      <c r="D14" s="111"/>
      <c r="E14" s="111"/>
      <c r="F14" s="111"/>
      <c r="G14" s="111"/>
      <c r="H14" s="111"/>
    </row>
    <row r="16" spans="1:8" x14ac:dyDescent="0.25">
      <c r="A16" s="37" t="s">
        <v>311</v>
      </c>
    </row>
    <row r="17" spans="1:4" x14ac:dyDescent="0.25">
      <c r="A17" s="23" t="s">
        <v>223</v>
      </c>
      <c r="C17" s="23" t="s">
        <v>225</v>
      </c>
    </row>
    <row r="18" spans="1:4" x14ac:dyDescent="0.25">
      <c r="A18" s="19" t="s">
        <v>312</v>
      </c>
      <c r="B18" s="101">
        <v>1400</v>
      </c>
      <c r="C18" s="19" t="s">
        <v>313</v>
      </c>
      <c r="D18" s="102">
        <v>800</v>
      </c>
    </row>
    <row r="19" spans="1:4" x14ac:dyDescent="0.25">
      <c r="A19" s="19" t="s">
        <v>314</v>
      </c>
      <c r="B19" s="101">
        <v>1200</v>
      </c>
      <c r="C19" s="19" t="s">
        <v>315</v>
      </c>
      <c r="D19" s="102">
        <v>650</v>
      </c>
    </row>
    <row r="20" spans="1:4" x14ac:dyDescent="0.25">
      <c r="A20" s="19" t="s">
        <v>316</v>
      </c>
      <c r="B20" s="101">
        <v>1000</v>
      </c>
      <c r="C20" s="19" t="s">
        <v>317</v>
      </c>
      <c r="D20" s="102">
        <v>500</v>
      </c>
    </row>
    <row r="21" spans="1:4" x14ac:dyDescent="0.25">
      <c r="C21" s="19" t="s">
        <v>318</v>
      </c>
      <c r="D21" s="102">
        <v>400</v>
      </c>
    </row>
    <row r="23" spans="1:4" x14ac:dyDescent="0.25">
      <c r="A23" s="37" t="s">
        <v>319</v>
      </c>
    </row>
    <row r="24" spans="1:4" x14ac:dyDescent="0.25">
      <c r="A24" s="19" t="s">
        <v>320</v>
      </c>
      <c r="B24" s="103">
        <v>1250</v>
      </c>
      <c r="C24" s="24" t="s">
        <v>321</v>
      </c>
    </row>
    <row r="25" spans="1:4" x14ac:dyDescent="0.25">
      <c r="A25" s="19" t="s">
        <v>322</v>
      </c>
      <c r="B25" s="99">
        <v>0.2</v>
      </c>
      <c r="C25" s="24" t="s">
        <v>323</v>
      </c>
    </row>
    <row r="26" spans="1:4" x14ac:dyDescent="0.25">
      <c r="A26" s="19" t="s">
        <v>324</v>
      </c>
      <c r="B26" s="100">
        <v>25000</v>
      </c>
      <c r="C26" s="24" t="s">
        <v>325</v>
      </c>
    </row>
    <row r="27" spans="1:4" x14ac:dyDescent="0.25">
      <c r="A27" s="19" t="s">
        <v>326</v>
      </c>
      <c r="B27" s="99">
        <v>0.1</v>
      </c>
      <c r="C27" s="24" t="s">
        <v>327</v>
      </c>
    </row>
    <row r="28" spans="1:4" x14ac:dyDescent="0.25">
      <c r="A28" s="19" t="s">
        <v>328</v>
      </c>
      <c r="B28" s="100">
        <v>15000</v>
      </c>
      <c r="C28" s="24" t="s">
        <v>327</v>
      </c>
    </row>
    <row r="29" spans="1:4" x14ac:dyDescent="0.25">
      <c r="A29" s="19" t="s">
        <v>329</v>
      </c>
      <c r="B29" s="25">
        <v>0.01</v>
      </c>
      <c r="C29" s="24" t="s">
        <v>330</v>
      </c>
    </row>
    <row r="30" spans="1:4" x14ac:dyDescent="0.25">
      <c r="A30" s="19" t="s">
        <v>331</v>
      </c>
      <c r="B30" s="104">
        <v>12</v>
      </c>
      <c r="C30" s="24" t="s">
        <v>330</v>
      </c>
    </row>
    <row r="31" spans="1:4" x14ac:dyDescent="0.25">
      <c r="A31" s="19" t="s">
        <v>332</v>
      </c>
      <c r="B31" s="104">
        <v>72</v>
      </c>
      <c r="C31" s="24" t="s">
        <v>330</v>
      </c>
    </row>
    <row r="32" spans="1:4" x14ac:dyDescent="0.25">
      <c r="A32" s="19" t="s">
        <v>333</v>
      </c>
      <c r="B32" s="104">
        <v>12</v>
      </c>
      <c r="C32" s="24" t="s">
        <v>330</v>
      </c>
    </row>
    <row r="33" spans="1:8" x14ac:dyDescent="0.25">
      <c r="A33" s="19" t="s">
        <v>334</v>
      </c>
      <c r="B33" s="99">
        <v>0.05</v>
      </c>
      <c r="C33" s="24" t="s">
        <v>335</v>
      </c>
    </row>
    <row r="34" spans="1:8" x14ac:dyDescent="0.25">
      <c r="A34" s="19" t="s">
        <v>336</v>
      </c>
      <c r="B34" s="99">
        <v>0.05</v>
      </c>
      <c r="C34" s="24" t="s">
        <v>337</v>
      </c>
    </row>
    <row r="35" spans="1:8" x14ac:dyDescent="0.25">
      <c r="A35" s="19" t="s">
        <v>338</v>
      </c>
      <c r="B35" s="104">
        <v>30</v>
      </c>
      <c r="C35" s="24" t="s">
        <v>339</v>
      </c>
    </row>
    <row r="36" spans="1:8" x14ac:dyDescent="0.25">
      <c r="A36" s="19" t="s">
        <v>340</v>
      </c>
      <c r="B36" s="99">
        <v>0.7</v>
      </c>
      <c r="C36" s="24" t="s">
        <v>341</v>
      </c>
    </row>
    <row r="39" spans="1:8" x14ac:dyDescent="0.25">
      <c r="A39" s="37" t="s">
        <v>342</v>
      </c>
    </row>
    <row r="40" spans="1:8" x14ac:dyDescent="0.25">
      <c r="A40" s="19" t="s">
        <v>343</v>
      </c>
      <c r="B40" s="99">
        <v>1.8</v>
      </c>
    </row>
    <row r="41" spans="1:8" x14ac:dyDescent="0.25">
      <c r="A41" s="19" t="s">
        <v>344</v>
      </c>
      <c r="B41" s="99">
        <v>1</v>
      </c>
    </row>
    <row r="42" spans="1:8" x14ac:dyDescent="0.25">
      <c r="A42" s="19" t="s">
        <v>345</v>
      </c>
      <c r="B42" s="99">
        <v>0.5</v>
      </c>
    </row>
    <row r="43" spans="1:8" ht="15" customHeight="1" x14ac:dyDescent="0.25">
      <c r="A43" s="158" t="s">
        <v>346</v>
      </c>
      <c r="B43" s="111"/>
      <c r="C43" s="111"/>
      <c r="D43" s="111"/>
      <c r="E43" s="111"/>
      <c r="F43" s="111"/>
      <c r="G43" s="111"/>
      <c r="H43" s="111"/>
    </row>
    <row r="44" spans="1:8" x14ac:dyDescent="0.25">
      <c r="A44" s="111"/>
      <c r="B44" s="125"/>
      <c r="C44" s="125"/>
      <c r="D44" s="125"/>
      <c r="E44" s="125"/>
      <c r="F44" s="125"/>
      <c r="G44" s="125"/>
      <c r="H44" s="111"/>
    </row>
    <row r="45" spans="1:8" x14ac:dyDescent="0.25">
      <c r="A45" s="111"/>
      <c r="B45" s="111"/>
      <c r="C45" s="111"/>
      <c r="D45" s="111"/>
      <c r="E45" s="111"/>
      <c r="F45" s="111"/>
      <c r="G45" s="111"/>
      <c r="H45" s="111"/>
    </row>
    <row r="46" spans="1:8" ht="90" customHeight="1" x14ac:dyDescent="0.25">
      <c r="A46" s="35" t="s">
        <v>347</v>
      </c>
      <c r="B46" s="36" t="s">
        <v>348</v>
      </c>
    </row>
    <row r="47" spans="1:8" ht="105" customHeight="1" x14ac:dyDescent="0.25">
      <c r="A47" s="35" t="s">
        <v>349</v>
      </c>
      <c r="B47" s="36" t="s">
        <v>350</v>
      </c>
    </row>
  </sheetData>
  <sheetProtection sheet="1" objects="1" scenarios="1" selectLockedCells="1"/>
  <mergeCells count="3">
    <mergeCell ref="A43:H45"/>
    <mergeCell ref="A13:H14"/>
    <mergeCell ref="A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55A11"/>
  </sheetPr>
  <dimension ref="A1:D16"/>
  <sheetViews>
    <sheetView workbookViewId="0"/>
  </sheetViews>
  <sheetFormatPr defaultColWidth="8.7109375" defaultRowHeight="15" x14ac:dyDescent="0.25"/>
  <cols>
    <col min="1" max="1" width="58" customWidth="1"/>
    <col min="2" max="2" width="8" customWidth="1"/>
    <col min="3" max="3" width="12" customWidth="1"/>
    <col min="4" max="4" width="62" customWidth="1"/>
  </cols>
  <sheetData>
    <row r="1" spans="1:4" ht="20.25" customHeight="1" x14ac:dyDescent="0.3">
      <c r="A1" s="20" t="s">
        <v>351</v>
      </c>
    </row>
    <row r="2" spans="1:4" ht="15" customHeight="1" x14ac:dyDescent="0.25">
      <c r="A2" s="159" t="s">
        <v>352</v>
      </c>
      <c r="B2" s="111"/>
      <c r="C2" s="111"/>
      <c r="D2" s="111"/>
    </row>
    <row r="3" spans="1:4" x14ac:dyDescent="0.25">
      <c r="A3" s="111"/>
      <c r="B3" s="125"/>
      <c r="C3" s="125"/>
      <c r="D3" s="111"/>
    </row>
    <row r="4" spans="1:4" x14ac:dyDescent="0.25">
      <c r="A4" s="111"/>
      <c r="B4" s="111"/>
      <c r="C4" s="111"/>
      <c r="D4" s="111"/>
    </row>
    <row r="6" spans="1:4" x14ac:dyDescent="0.25">
      <c r="A6" s="28" t="s">
        <v>353</v>
      </c>
      <c r="B6" s="28" t="s">
        <v>354</v>
      </c>
      <c r="C6" s="28" t="s">
        <v>355</v>
      </c>
      <c r="D6" s="28" t="s">
        <v>356</v>
      </c>
    </row>
    <row r="7" spans="1:4" ht="33.75" customHeight="1" x14ac:dyDescent="0.25">
      <c r="A7" s="29" t="s">
        <v>357</v>
      </c>
      <c r="B7" s="30">
        <v>20</v>
      </c>
      <c r="C7" s="105">
        <v>20</v>
      </c>
      <c r="D7" s="31" t="s">
        <v>358</v>
      </c>
    </row>
    <row r="8" spans="1:4" ht="33.75" customHeight="1" x14ac:dyDescent="0.25">
      <c r="A8" s="29" t="s">
        <v>359</v>
      </c>
      <c r="B8" s="30">
        <v>10</v>
      </c>
      <c r="C8" s="105">
        <v>10</v>
      </c>
      <c r="D8" s="31" t="s">
        <v>360</v>
      </c>
    </row>
    <row r="9" spans="1:4" ht="33.75" customHeight="1" x14ac:dyDescent="0.25">
      <c r="A9" s="29" t="s">
        <v>361</v>
      </c>
      <c r="B9" s="30">
        <v>10</v>
      </c>
      <c r="C9" s="106">
        <f>IF(AND(Calcolatore!$B$23&gt;0,Calcolatore!$B$28&gt;0),10,0)</f>
        <v>10</v>
      </c>
      <c r="D9" s="31" t="s">
        <v>362</v>
      </c>
    </row>
    <row r="10" spans="1:4" ht="33.75" customHeight="1" x14ac:dyDescent="0.25">
      <c r="A10" s="29" t="s">
        <v>363</v>
      </c>
      <c r="B10" s="30">
        <v>20</v>
      </c>
      <c r="C10" s="106">
        <f>IF(AND(Calcolatore!$B$23&gt;0,Calcolatore!$B$28&gt;0),MIN(IF(Calcolatore!$B$34&gt;=0.2,20,IF(Calcolatore!$B$34&gt;=0.1,10,0)),IF(Calcolatore!$B$37&gt;=0.2,20,IF(Calcolatore!$B$37&gt;=0.1,10,0))),IF(Calcolatore!$B$23&gt;0,IF(Calcolatore!$B$34&gt;=0.2,20,IF(Calcolatore!$B$34&gt;=0.1,10,0)),IF(Calcolatore!$B$37&gt;=0.2,20,IF(Calcolatore!$B$37&gt;=0.1,10,0))))</f>
        <v>0</v>
      </c>
      <c r="D10" s="31" t="s">
        <v>364</v>
      </c>
    </row>
    <row r="11" spans="1:4" ht="33.75" customHeight="1" x14ac:dyDescent="0.25">
      <c r="A11" s="29" t="s">
        <v>365</v>
      </c>
      <c r="B11" s="30">
        <v>3</v>
      </c>
      <c r="C11" s="105">
        <v>0</v>
      </c>
      <c r="D11" s="31" t="s">
        <v>366</v>
      </c>
    </row>
    <row r="12" spans="1:4" ht="33.75" customHeight="1" x14ac:dyDescent="0.25">
      <c r="A12" s="29" t="s">
        <v>367</v>
      </c>
      <c r="B12" s="30">
        <v>2</v>
      </c>
      <c r="C12" s="105">
        <v>0</v>
      </c>
      <c r="D12" s="31" t="s">
        <v>368</v>
      </c>
    </row>
    <row r="13" spans="1:4" ht="33.75" customHeight="1" x14ac:dyDescent="0.25">
      <c r="A13" s="29" t="s">
        <v>369</v>
      </c>
      <c r="B13" s="30">
        <v>10</v>
      </c>
      <c r="C13" s="106">
        <f>IF(Calcolatore!$B$50="Si",10,0)</f>
        <v>10</v>
      </c>
      <c r="D13" s="31" t="s">
        <v>370</v>
      </c>
    </row>
    <row r="14" spans="1:4" x14ac:dyDescent="0.25">
      <c r="A14" s="37" t="s">
        <v>371</v>
      </c>
      <c r="B14" s="107">
        <f>SUM(B7:B13)</f>
        <v>75</v>
      </c>
      <c r="C14" s="108">
        <f>SUM(C7:C13)</f>
        <v>50</v>
      </c>
    </row>
    <row r="15" spans="1:4" x14ac:dyDescent="0.25">
      <c r="A15" s="37" t="s">
        <v>372</v>
      </c>
      <c r="C15" s="109">
        <f>Parametri!$B$35</f>
        <v>30</v>
      </c>
    </row>
    <row r="16" spans="1:4" x14ac:dyDescent="0.25">
      <c r="A16" s="37" t="s">
        <v>373</v>
      </c>
      <c r="C16" s="108" t="str">
        <f>IF(C14&gt;=C15,"AMMISSIBILE","SOTTO SOGLIA")</f>
        <v>AMMISSIBILE</v>
      </c>
    </row>
  </sheetData>
  <sheetProtection sheet="1" objects="1" scenarios="1" selectLockedCells="1"/>
  <mergeCells count="1">
    <mergeCell ref="A2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C20"/>
  <sheetViews>
    <sheetView workbookViewId="0"/>
  </sheetViews>
  <sheetFormatPr defaultColWidth="8.7109375" defaultRowHeight="15" x14ac:dyDescent="0.25"/>
  <cols>
    <col min="1" max="1" width="78" customWidth="1"/>
    <col min="2" max="2" width="16" customWidth="1"/>
    <col min="3" max="3" width="34" customWidth="1"/>
  </cols>
  <sheetData>
    <row r="1" spans="1:3" ht="20.25" customHeight="1" x14ac:dyDescent="0.3">
      <c r="A1" s="20" t="s">
        <v>374</v>
      </c>
    </row>
    <row r="2" spans="1:3" ht="15" customHeight="1" x14ac:dyDescent="0.25">
      <c r="A2" s="159" t="s">
        <v>375</v>
      </c>
      <c r="B2" s="111"/>
      <c r="C2" s="111"/>
    </row>
    <row r="3" spans="1:3" x14ac:dyDescent="0.25">
      <c r="A3" s="111"/>
      <c r="B3" s="111"/>
      <c r="C3" s="111"/>
    </row>
    <row r="5" spans="1:3" x14ac:dyDescent="0.25">
      <c r="A5" s="32" t="s">
        <v>168</v>
      </c>
      <c r="B5" s="32" t="s">
        <v>373</v>
      </c>
      <c r="C5" s="32" t="s">
        <v>376</v>
      </c>
    </row>
    <row r="6" spans="1:3" ht="27.75" customHeight="1" x14ac:dyDescent="0.25">
      <c r="A6" s="29" t="s">
        <v>377</v>
      </c>
      <c r="B6" s="105" t="s">
        <v>9</v>
      </c>
      <c r="C6" s="33" t="s">
        <v>378</v>
      </c>
    </row>
    <row r="7" spans="1:3" ht="27.75" customHeight="1" x14ac:dyDescent="0.25">
      <c r="A7" s="29" t="s">
        <v>379</v>
      </c>
      <c r="B7" s="105" t="s">
        <v>9</v>
      </c>
      <c r="C7" s="33" t="s">
        <v>380</v>
      </c>
    </row>
    <row r="8" spans="1:3" ht="27.75" customHeight="1" x14ac:dyDescent="0.25">
      <c r="A8" s="29" t="s">
        <v>381</v>
      </c>
      <c r="B8" s="105" t="s">
        <v>9</v>
      </c>
      <c r="C8" s="33" t="s">
        <v>382</v>
      </c>
    </row>
    <row r="9" spans="1:3" ht="27.75" customHeight="1" x14ac:dyDescent="0.25">
      <c r="A9" s="29" t="s">
        <v>383</v>
      </c>
      <c r="B9" s="105" t="s">
        <v>9</v>
      </c>
      <c r="C9" s="33" t="s">
        <v>384</v>
      </c>
    </row>
    <row r="10" spans="1:3" ht="27.75" customHeight="1" x14ac:dyDescent="0.25">
      <c r="A10" s="29" t="s">
        <v>385</v>
      </c>
      <c r="B10" s="105" t="s">
        <v>9</v>
      </c>
      <c r="C10" s="33" t="s">
        <v>386</v>
      </c>
    </row>
    <row r="11" spans="1:3" ht="27.75" customHeight="1" x14ac:dyDescent="0.25">
      <c r="A11" s="29" t="s">
        <v>387</v>
      </c>
      <c r="B11" s="105" t="s">
        <v>9</v>
      </c>
      <c r="C11" s="33" t="s">
        <v>388</v>
      </c>
    </row>
    <row r="12" spans="1:3" ht="27.75" customHeight="1" x14ac:dyDescent="0.25">
      <c r="A12" s="29" t="s">
        <v>389</v>
      </c>
      <c r="B12" s="105" t="s">
        <v>9</v>
      </c>
      <c r="C12" s="33" t="s">
        <v>390</v>
      </c>
    </row>
    <row r="13" spans="1:3" ht="27.75" customHeight="1" x14ac:dyDescent="0.25">
      <c r="A13" s="29" t="s">
        <v>391</v>
      </c>
      <c r="B13" s="105" t="s">
        <v>9</v>
      </c>
      <c r="C13" s="33" t="s">
        <v>392</v>
      </c>
    </row>
    <row r="14" spans="1:3" ht="27.75" customHeight="1" x14ac:dyDescent="0.25">
      <c r="A14" s="29" t="s">
        <v>393</v>
      </c>
      <c r="B14" s="105" t="s">
        <v>9</v>
      </c>
      <c r="C14" s="33" t="s">
        <v>394</v>
      </c>
    </row>
    <row r="15" spans="1:3" ht="27.75" customHeight="1" x14ac:dyDescent="0.25">
      <c r="A15" s="29" t="s">
        <v>395</v>
      </c>
      <c r="B15" s="105" t="s">
        <v>9</v>
      </c>
      <c r="C15" s="33" t="s">
        <v>396</v>
      </c>
    </row>
    <row r="16" spans="1:3" ht="27.75" customHeight="1" x14ac:dyDescent="0.25">
      <c r="A16" s="29" t="s">
        <v>397</v>
      </c>
      <c r="B16" s="105" t="s">
        <v>9</v>
      </c>
      <c r="C16" s="33" t="s">
        <v>398</v>
      </c>
    </row>
    <row r="17" spans="1:3" ht="27.75" customHeight="1" x14ac:dyDescent="0.25">
      <c r="A17" s="29" t="s">
        <v>399</v>
      </c>
      <c r="B17" s="105" t="s">
        <v>9</v>
      </c>
      <c r="C17" s="33" t="s">
        <v>400</v>
      </c>
    </row>
    <row r="18" spans="1:3" ht="27.75" customHeight="1" x14ac:dyDescent="0.25">
      <c r="A18" s="29" t="s">
        <v>401</v>
      </c>
      <c r="B18" s="105" t="s">
        <v>9</v>
      </c>
      <c r="C18" s="33" t="s">
        <v>402</v>
      </c>
    </row>
    <row r="19" spans="1:3" ht="27.75" customHeight="1" x14ac:dyDescent="0.25">
      <c r="A19" s="29" t="s">
        <v>403</v>
      </c>
      <c r="B19" s="105" t="s">
        <v>9</v>
      </c>
      <c r="C19" s="33" t="s">
        <v>404</v>
      </c>
    </row>
    <row r="20" spans="1:3" x14ac:dyDescent="0.25">
      <c r="A20" s="37" t="s">
        <v>405</v>
      </c>
      <c r="B20" s="108">
        <f>COUNTIF(B6:B19,"Da verificare")+COUNTIF(B6:B19,"No")</f>
        <v>0</v>
      </c>
    </row>
  </sheetData>
  <sheetProtection sheet="1" objects="1" scenarios="1" selectLockedCells="1"/>
  <mergeCells count="1">
    <mergeCell ref="A2:C3"/>
  </mergeCells>
  <dataValidations count="1">
    <dataValidation type="list" allowBlank="1" sqref="B6:B19" xr:uid="{00000000-0002-0000-0500-000000000000}">
      <formula1>"Si,No,Da verificare"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AVVERTENZA</vt:lpstr>
      <vt:lpstr>Calcolatore</vt:lpstr>
      <vt:lpstr>Scheda Cliente</vt:lpstr>
      <vt:lpstr>Parametri</vt:lpstr>
      <vt:lpstr>Punteggio</vt:lpstr>
      <vt:lpstr>Check bancabilità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Tommaso Bianchi</cp:lastModifiedBy>
  <dcterms:created xsi:type="dcterms:W3CDTF">2026-08-24T10:24:34Z</dcterms:created>
  <dcterms:modified xsi:type="dcterms:W3CDTF">2026-08-29T09:43:48Z</dcterms:modified>
</cp:coreProperties>
</file>